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dri\OneDrive\Escritorio\Artículos Rodrigo\Gallotia prevalencia - div genetica\Manuscript\Primera revisión MolEcol\Mendeley Data\"/>
    </mc:Choice>
  </mc:AlternateContent>
  <xr:revisionPtr revIDLastSave="0" documentId="13_ncr:1_{31324525-C489-4710-90CB-9DFD76F87147}" xr6:coauthVersionLast="47" xr6:coauthVersionMax="47" xr10:uidLastSave="{00000000-0000-0000-0000-000000000000}"/>
  <bookViews>
    <workbookView xWindow="-108" yWindow="-108" windowWidth="23256" windowHeight="12576" tabRatio="824" xr2:uid="{00000000-000D-0000-FFFF-FFFF00000000}"/>
  </bookViews>
  <sheets>
    <sheet name="Gallotia_reads NGS" sheetId="6" r:id="rId1"/>
    <sheet name="COINFECT Hepatozoon Karyolysus" sheetId="3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D34" i="6" l="1"/>
  <c r="BL34" i="6"/>
  <c r="BK34" i="6"/>
  <c r="IU35" i="6"/>
  <c r="HG35" i="6"/>
  <c r="GH35" i="6"/>
  <c r="GG35" i="6"/>
  <c r="GF35" i="6"/>
  <c r="GE35" i="6"/>
  <c r="GD35" i="6"/>
  <c r="GC35" i="6"/>
  <c r="GA35" i="6"/>
  <c r="FW35" i="6"/>
  <c r="FV35" i="6"/>
  <c r="FM35" i="6"/>
  <c r="FJ35" i="6"/>
  <c r="FH35" i="6"/>
  <c r="BN35" i="6"/>
  <c r="BM35" i="6"/>
  <c r="BL35" i="6"/>
  <c r="BK35" i="6"/>
  <c r="IU30" i="6"/>
  <c r="GH30" i="6"/>
  <c r="GG30" i="6"/>
  <c r="GF30" i="6"/>
  <c r="GE30" i="6"/>
  <c r="FW30" i="6"/>
  <c r="FV30" i="6"/>
  <c r="BN30" i="6"/>
  <c r="BM30" i="6"/>
  <c r="BN33" i="6"/>
  <c r="BM33" i="6"/>
  <c r="GG31" i="6"/>
  <c r="G31" i="6"/>
  <c r="F31" i="6"/>
  <c r="IU32" i="6"/>
  <c r="GH32" i="6"/>
  <c r="GG32" i="6"/>
  <c r="GF32" i="6"/>
  <c r="GE32" i="6"/>
  <c r="FW32" i="6"/>
  <c r="FV32" i="6"/>
  <c r="G32" i="6"/>
  <c r="F32" i="6"/>
  <c r="HV29" i="6"/>
  <c r="HU29" i="6"/>
  <c r="HT29" i="6"/>
  <c r="HS29" i="6"/>
  <c r="HO29" i="6"/>
  <c r="HG29" i="6"/>
  <c r="FM29" i="6"/>
  <c r="FJ29" i="6"/>
  <c r="FI29" i="6"/>
  <c r="FA29" i="6"/>
  <c r="ET29" i="6"/>
  <c r="EO29" i="6"/>
  <c r="EN29" i="6"/>
  <c r="EM29" i="6"/>
  <c r="EL29" i="6"/>
  <c r="EJ29" i="6"/>
  <c r="EI29" i="6"/>
  <c r="EH29" i="6"/>
  <c r="EG29" i="6"/>
  <c r="EF29" i="6"/>
  <c r="ED29" i="6"/>
  <c r="EB29" i="6"/>
  <c r="EA29" i="6"/>
  <c r="DZ29" i="6"/>
  <c r="DV29" i="6"/>
  <c r="G29" i="6"/>
  <c r="F29" i="6"/>
  <c r="FW8" i="6"/>
  <c r="G8" i="6"/>
  <c r="F8" i="6"/>
  <c r="FW9" i="6"/>
  <c r="G9" i="6"/>
  <c r="F9" i="6"/>
  <c r="EK6" i="6"/>
  <c r="G6" i="6"/>
  <c r="F6" i="6"/>
  <c r="EC22" i="6"/>
  <c r="G22" i="6"/>
  <c r="F22" i="6"/>
  <c r="HY10" i="6"/>
  <c r="G10" i="6"/>
  <c r="F10" i="6"/>
  <c r="HX5" i="6"/>
  <c r="HP5" i="6"/>
  <c r="G5" i="6"/>
  <c r="F5" i="6"/>
  <c r="HT25" i="6"/>
  <c r="HS25" i="6"/>
  <c r="HO25" i="6"/>
  <c r="GH25" i="6"/>
  <c r="GF25" i="6"/>
  <c r="GE25" i="6"/>
  <c r="FW25" i="6"/>
  <c r="FV25" i="6"/>
  <c r="G25" i="6"/>
  <c r="F25" i="6"/>
  <c r="BL16" i="6"/>
  <c r="G16" i="6" s="1"/>
  <c r="M18" i="6"/>
  <c r="BL15" i="6"/>
  <c r="F15" i="6" s="1"/>
  <c r="GG23" i="6"/>
  <c r="GF23" i="6"/>
  <c r="GE23" i="6"/>
  <c r="BN23" i="6"/>
  <c r="G23" i="6" s="1"/>
  <c r="DK26" i="6"/>
  <c r="F26" i="6" s="1"/>
  <c r="HA3" i="6"/>
  <c r="DK3" i="6"/>
  <c r="F3" i="6" s="1"/>
  <c r="M17" i="6"/>
  <c r="CR12" i="6"/>
  <c r="G12" i="6" s="1"/>
  <c r="CS13" i="6"/>
  <c r="CQ13" i="6"/>
  <c r="CO13" i="6"/>
  <c r="Z4" i="6"/>
  <c r="X4" i="6"/>
  <c r="Y28" i="6"/>
  <c r="X28" i="6"/>
  <c r="V28" i="6"/>
  <c r="U28" i="6"/>
  <c r="CX27" i="6"/>
  <c r="AB27" i="6"/>
  <c r="DD20" i="6"/>
  <c r="DC20" i="6"/>
  <c r="CZ20" i="6"/>
  <c r="CB11" i="6"/>
  <c r="CA11" i="6"/>
  <c r="BZ11" i="6"/>
  <c r="BY11" i="6"/>
  <c r="BW11" i="6"/>
  <c r="BU11" i="6"/>
  <c r="BT11" i="6"/>
  <c r="AJ11" i="6"/>
  <c r="AH11" i="6"/>
  <c r="Z11" i="6"/>
  <c r="IU7" i="6"/>
  <c r="IM7" i="6"/>
  <c r="HA7" i="6"/>
  <c r="FW7" i="6"/>
  <c r="FQ7" i="6"/>
  <c r="FJ7" i="6"/>
  <c r="FI7" i="6"/>
  <c r="FH7" i="6"/>
  <c r="FE7" i="6"/>
  <c r="EY7" i="6"/>
  <c r="ER7" i="6"/>
  <c r="EP7" i="6"/>
  <c r="EO7" i="6"/>
  <c r="EN7" i="6"/>
  <c r="EM7" i="6"/>
  <c r="EI7" i="6"/>
  <c r="DP7" i="6"/>
  <c r="DH7" i="6"/>
  <c r="BH7" i="6"/>
  <c r="BG7" i="6"/>
  <c r="BA7" i="6"/>
  <c r="IW19" i="6"/>
  <c r="IV19" i="6"/>
  <c r="IG19" i="6"/>
  <c r="HL19" i="6"/>
  <c r="HB19" i="6"/>
  <c r="FT19" i="6"/>
  <c r="FS19" i="6"/>
  <c r="FM19" i="6"/>
  <c r="FI19" i="6"/>
  <c r="FD19" i="6"/>
  <c r="FC19" i="6"/>
  <c r="EV19" i="6"/>
  <c r="EL19" i="6"/>
  <c r="EJ19" i="6"/>
  <c r="EI19" i="6"/>
  <c r="CI19" i="6"/>
  <c r="BU19" i="6"/>
  <c r="T19" i="6"/>
  <c r="S19" i="6"/>
  <c r="R19" i="6"/>
  <c r="Q19" i="6"/>
  <c r="P19" i="6"/>
  <c r="O19" i="6"/>
  <c r="N19" i="6"/>
  <c r="M19" i="6"/>
  <c r="L19" i="6"/>
  <c r="DN14" i="6"/>
  <c r="DK14" i="6"/>
  <c r="DA14" i="6"/>
  <c r="CY14" i="6"/>
  <c r="CU14" i="6"/>
  <c r="CT14" i="6"/>
  <c r="CS14" i="6"/>
  <c r="CR14" i="6"/>
  <c r="CQ14" i="6"/>
  <c r="CP14" i="6"/>
  <c r="CO14" i="6"/>
  <c r="CN14" i="6"/>
  <c r="CM14" i="6"/>
  <c r="CL14" i="6"/>
  <c r="CK14" i="6"/>
  <c r="CI14" i="6"/>
  <c r="CF14" i="6"/>
  <c r="CE14" i="6"/>
  <c r="CD14" i="6"/>
  <c r="CC14" i="6"/>
  <c r="CB14" i="6"/>
  <c r="CA14" i="6"/>
  <c r="BZ14" i="6"/>
  <c r="BY14" i="6"/>
  <c r="BW14" i="6"/>
  <c r="BV14" i="6"/>
  <c r="BU14" i="6"/>
  <c r="BT14" i="6"/>
  <c r="BS14" i="6"/>
  <c r="BN14" i="6"/>
  <c r="BL14" i="6"/>
  <c r="BH14" i="6"/>
  <c r="BF14" i="6"/>
  <c r="BE14" i="6"/>
  <c r="BD14" i="6"/>
  <c r="BC14" i="6"/>
  <c r="BB14" i="6"/>
  <c r="BA14" i="6"/>
  <c r="AZ14" i="6"/>
  <c r="AY14" i="6"/>
  <c r="AX14" i="6"/>
  <c r="AJ14" i="6"/>
  <c r="AI14" i="6"/>
  <c r="AH14" i="6"/>
  <c r="AG14" i="6"/>
  <c r="AF14" i="6"/>
  <c r="X14" i="6"/>
  <c r="U14" i="6"/>
  <c r="DO24" i="6"/>
  <c r="DM24" i="6"/>
  <c r="DK24" i="6"/>
  <c r="DJ24" i="6"/>
  <c r="DH24" i="6"/>
  <c r="DC24" i="6"/>
  <c r="CP24" i="6"/>
  <c r="CD24" i="6"/>
  <c r="CC24" i="6"/>
  <c r="BX24" i="6"/>
  <c r="BR24" i="6"/>
  <c r="BQ24" i="6"/>
  <c r="BP24" i="6"/>
  <c r="BN24" i="6"/>
  <c r="BI24" i="6"/>
  <c r="BF24" i="6"/>
  <c r="BD24" i="6"/>
  <c r="AX24" i="6"/>
  <c r="AT24" i="6"/>
  <c r="AD24" i="6"/>
  <c r="AC24" i="6"/>
  <c r="AA24" i="6"/>
  <c r="X24" i="6"/>
  <c r="DP21" i="6"/>
  <c r="DN21" i="6"/>
  <c r="DM21" i="6"/>
  <c r="DL21" i="6"/>
  <c r="DK21" i="6"/>
  <c r="DI21" i="6"/>
  <c r="DH21" i="6"/>
  <c r="DG21" i="6"/>
  <c r="DF21" i="6"/>
  <c r="DE21" i="6"/>
  <c r="DD21" i="6"/>
  <c r="DC21" i="6"/>
  <c r="DB21" i="6"/>
  <c r="DA21" i="6"/>
  <c r="CZ21" i="6"/>
  <c r="CY21" i="6"/>
  <c r="CX21" i="6"/>
  <c r="CW21" i="6"/>
  <c r="CV21" i="6"/>
  <c r="CU21" i="6"/>
  <c r="CT21" i="6"/>
  <c r="CS21" i="6"/>
  <c r="CR21" i="6"/>
  <c r="CQ21" i="6"/>
  <c r="CP21" i="6"/>
  <c r="CO21" i="6"/>
  <c r="CN21" i="6"/>
  <c r="CM21" i="6"/>
  <c r="CL21" i="6"/>
  <c r="CK21" i="6"/>
  <c r="CJ21" i="6"/>
  <c r="CI21" i="6"/>
  <c r="CH21" i="6"/>
  <c r="CG21" i="6"/>
  <c r="CF21" i="6"/>
  <c r="CE21" i="6"/>
  <c r="CD21" i="6"/>
  <c r="CC21" i="6"/>
  <c r="CB21" i="6"/>
  <c r="CA21" i="6"/>
  <c r="BZ21" i="6"/>
  <c r="BY21" i="6"/>
  <c r="BW21" i="6"/>
  <c r="BV21" i="6"/>
  <c r="BU21" i="6"/>
  <c r="BT21" i="6"/>
  <c r="BS21" i="6"/>
  <c r="BO21" i="6"/>
  <c r="BN21" i="6"/>
  <c r="BM21" i="6"/>
  <c r="BL21" i="6"/>
  <c r="BK21" i="6"/>
  <c r="BJ21" i="6"/>
  <c r="BH21" i="6"/>
  <c r="BG21" i="6"/>
  <c r="BF21" i="6"/>
  <c r="BE21" i="6"/>
  <c r="BD21" i="6"/>
  <c r="BC21" i="6"/>
  <c r="BB21" i="6"/>
  <c r="BA21" i="6"/>
  <c r="AZ21" i="6"/>
  <c r="AY21" i="6"/>
  <c r="AX21" i="6"/>
  <c r="AW21" i="6"/>
  <c r="AV21" i="6"/>
  <c r="AU21" i="6"/>
  <c r="AT21" i="6"/>
  <c r="AS21" i="6"/>
  <c r="AR21" i="6"/>
  <c r="AQ21" i="6"/>
  <c r="AP21" i="6"/>
  <c r="AO21" i="6"/>
  <c r="AN21" i="6"/>
  <c r="AM21" i="6"/>
  <c r="AL21" i="6"/>
  <c r="AK21" i="6"/>
  <c r="AJ21" i="6"/>
  <c r="AI21" i="6"/>
  <c r="AH21" i="6"/>
  <c r="AG21" i="6"/>
  <c r="AF21" i="6"/>
  <c r="AE21" i="6"/>
  <c r="AD21" i="6"/>
  <c r="AC21" i="6"/>
  <c r="AB21" i="6"/>
  <c r="AA21" i="6"/>
  <c r="Z21" i="6"/>
  <c r="Y21" i="6"/>
  <c r="X21" i="6"/>
  <c r="W21" i="6"/>
  <c r="V21" i="6"/>
  <c r="U21" i="6"/>
  <c r="F23" i="6" l="1"/>
  <c r="F17" i="6"/>
  <c r="G17" i="6"/>
  <c r="G28" i="6"/>
  <c r="F27" i="6"/>
  <c r="F13" i="6"/>
  <c r="G30" i="6"/>
  <c r="G20" i="6"/>
  <c r="G4" i="6"/>
  <c r="G3" i="6"/>
  <c r="F33" i="6"/>
  <c r="G26" i="6"/>
  <c r="F24" i="6"/>
  <c r="G14" i="6"/>
  <c r="F20" i="6"/>
  <c r="F4" i="6"/>
  <c r="F12" i="6"/>
  <c r="G24" i="6"/>
  <c r="G27" i="6"/>
  <c r="F16" i="6"/>
  <c r="G13" i="6"/>
  <c r="G11" i="6"/>
  <c r="F11" i="6"/>
  <c r="F14" i="6"/>
  <c r="G7" i="6"/>
  <c r="F7" i="6"/>
  <c r="G34" i="6"/>
  <c r="F34" i="6"/>
  <c r="G19" i="6"/>
  <c r="G35" i="6"/>
  <c r="F35" i="6"/>
  <c r="F19" i="6"/>
  <c r="F28" i="6"/>
  <c r="G18" i="6"/>
  <c r="F18" i="6"/>
  <c r="G21" i="6"/>
  <c r="F21" i="6"/>
  <c r="G15" i="6"/>
  <c r="G33" i="6"/>
  <c r="F30" i="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tc={201DB02F-6500-4CE0-8332-52C2D604C1C6}</author>
    <author>tc={7439B358-9F7E-4B33-BFEA-FE0C5F14A684}</author>
    <author>tc={53CF47B7-7A16-4A15-884C-B5DF7AEB420C}</author>
    <author>tc={7BA8B56D-5757-4C0C-A3CF-8BAC0AADE9CC}</author>
    <author>tc={9F5BD4BB-70E7-43E3-8D33-65498110A185}</author>
    <author>tc={65FBFD8C-7EBD-4AC2-A78B-CD5AF41284C3}</author>
    <author>tc={02BBAA6F-32C4-4D62-BEEC-06A061CADA2C}</author>
    <author>tc={159C7AEA-9BED-4704-BDF8-7816E8C1617A}</author>
    <author>tc={8CF16137-8654-4584-99E7-D2B2FFF231F7}</author>
  </authors>
  <commentList>
    <comment ref="A21" authorId="0" shapeId="0" xr:uid="{00000000-0006-0000-0500-000004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con "Liz" significa segunda tanda de NGS (no significa que sea lagarto)
además inicialmente se llamaron como haplotipos distintos los Liz001_Liz013 pero luego resultó ser el mismo</t>
      </text>
    </comment>
    <comment ref="C29" authorId="1" shapeId="0" xr:uid="{00000000-0006-0000-0500-000005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Select seq MG787243.2	Hepatozoon sp. BT-2018 A 18S ribosomal RNA gene, partial sequence	Hepatozoon sp. BT-2018 A	789	789	100%	0.0	98.45%	1696	MG787243.2
En Gallotia atlantica</t>
      </text>
    </comment>
    <comment ref="K29" authorId="2" shapeId="0" xr:uid="{00000000-0006-0000-0500-000006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Esto puede ser otra cosa que Karyolysus
Considerar ignorarlos o contabilizarlos tras BLAST</t>
      </text>
    </comment>
    <comment ref="C30" authorId="3" shapeId="0" xr:uid="{00000000-0006-0000-0500-00000B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Select seq MH174343.1	Hepatozoon sp. isolate HepOat4 small subunit ribosomal RNA gene, partial sequence	Hepatozoon sp.	769	769	100%	0.0	97.36%	1671	MH174343.1
hepatozoon en Ornithodoros atacamensis</t>
      </text>
    </comment>
    <comment ref="C31" authorId="4" shapeId="0" xr:uid="{00000000-0006-0000-0500-000008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Select seq MH174343.1	Hepatozoon sp. isolate HepOat4 small subunit ribosomal RNA gene, partial sequence	Hepatozoon sp.	706	706	100%	0.0	95.15%	1671	MH174343.1
Hepatozoon en Ornithodoros atacanamensis</t>
      </text>
    </comment>
    <comment ref="C32" authorId="5" shapeId="0" xr:uid="{00000000-0006-0000-0500-000007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Select seq MH174343.1	Hepatozoon sp. isolate HepOat4 small subunit ribosomal RNA gene, partial sequence	Hepatozoon sp.	706	706	100%	0.0	95.15%	1671	MH174343.1
hepatozoon en Ornithodoros atacanamensis</t>
      </text>
    </comment>
    <comment ref="C33" authorId="6" shapeId="0" xr:uid="{00000000-0006-0000-0500-00000A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Select seq MH174343.1	Hepatozoon sp. isolate HepOat4 small subunit ribosomal RNA gene, partial sequence	Hepatozoon sp.	747	747	100%	0.0	96.48%	1671	MH174343.1
Hepatozoon en Ornithodoros atacanamensis</t>
      </text>
    </comment>
    <comment ref="C34" authorId="7" shapeId="0" xr:uid="{00000000-0006-0000-0500-00000D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Select seq MH174343.1	Hepatozoon sp. isolate HepOat4 small subunit ribosomal RNA gene, partial sequence	Hepatozoon sp.	773	773	100%	0.0	97.56%	1671	MH174343.1
Hepatozoon en Ornithodoros atacamensis</t>
      </text>
    </comment>
    <comment ref="C35" authorId="8" shapeId="0" xr:uid="{00000000-0006-0000-0500-00000C00000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Select seq MH174343.1	Hepatozoon sp. isolate HepOat4 small subunit ribosomal RNA gene, partial sequence	Hepatozoon sp.	773	773	100%	0.0	97.56%	1671	MH174343.1
Hepatozoon Ornithodoros atacamensis</t>
      </text>
    </comment>
  </commentList>
</comments>
</file>

<file path=xl/sharedStrings.xml><?xml version="1.0" encoding="utf-8"?>
<sst xmlns="http://schemas.openxmlformats.org/spreadsheetml/2006/main" count="638" uniqueCount="327">
  <si>
    <t>SEQUENCE</t>
  </si>
  <si>
    <t>MD5</t>
  </si>
  <si>
    <t>LENGTH</t>
  </si>
  <si>
    <t>DEPTH</t>
  </si>
  <si>
    <t>SAMPLES</t>
  </si>
  <si>
    <t>MEAN_FREQ</t>
  </si>
  <si>
    <t>MAX_FREQ</t>
  </si>
  <si>
    <t>MIN_FREQ</t>
  </si>
  <si>
    <t>458_00_</t>
  </si>
  <si>
    <t>458_01_</t>
  </si>
  <si>
    <t>458_02_</t>
  </si>
  <si>
    <t>458_03_</t>
  </si>
  <si>
    <t>458_04_</t>
  </si>
  <si>
    <t>458_05_</t>
  </si>
  <si>
    <t>458_06_</t>
  </si>
  <si>
    <t>458_07_</t>
  </si>
  <si>
    <t>458_08_</t>
  </si>
  <si>
    <t>458_09_</t>
  </si>
  <si>
    <t>458_10_</t>
  </si>
  <si>
    <t>458_11_</t>
  </si>
  <si>
    <t>458_12_</t>
  </si>
  <si>
    <t>458_13_</t>
  </si>
  <si>
    <t>458_14_</t>
  </si>
  <si>
    <t>458_15_</t>
  </si>
  <si>
    <t>18S-000001</t>
  </si>
  <si>
    <t>ATTAAAACAGTTACAGTTTACTTGATAATAAAATTTTACATGGATAACCGTGGTAATTCTAGAGCTAATACATGAGCAAAATCTTGACTTTTTTAGAAAAGATGCATTTATTAGATAAAAAACCAATACATACTTTTTAAGTATGAAAGTTGGTGATTTACAATAACTTAGCAAATCGCATAGTGTAAACTGGCGATAAATCATTCAAGTTTCTGACCTATCCGACGGTATGGTATTGGCTTACCGTGGCAGTGACGGTTAACGGGGGATTAGGGTTCGATTCCGGAGAGGGAGCCTGAGAAACGGCTACCACATCTAAGGAAGGCAGCAGGCGCGCAAATTACCCAATTCTAACAGCATAAGAGAGGTAGTGACAAGAAATAACAATACAAGGCAGTTAAAATGCTTTGTAATTGGAATGATAGAAATTTAAACACTTTTTAAA</t>
  </si>
  <si>
    <t>69cfa94833be8e270cb7fd8adca8e74e</t>
  </si>
  <si>
    <t>18S-000002</t>
  </si>
  <si>
    <t>ATTAAAACAGTTATAGTTTATTTGATAATAAAAGTTTACATGGATAACCGTGGTAATTCTAGAGCTAATACATGAGCAAAATCTCGACTTTTTTAGAAGAGATGCATTTATTAGATAAAAAACCAATGCATGCTTTTCAAGTATGAAAGTTGGTGATTTACAATAACTTAGCAAATCGCATAGTGAAAACTGGCGATAAATCATTCAAGTTTCTGACCTATCCGACGGTATGGTATTGGCTTACCGTGGCAGTGACGGTTAACGGGGGATTAGGGTTCGATTCCGGAGAGGGAGCCTGAGAAACGGCTACCACATCTAAGGAAGGCAGCAGGCGCGCAAATTACCCAATTCTAACAGCATAAGAGAGGTAGTGACAAGAAATAACAATACAAGGCAGTTAAAATGCTTTGTAATTGGAATGATAGAAATTTAAACACTTTTTAAA</t>
  </si>
  <si>
    <t>5ef62423bf99dccecac34b8c569424ed</t>
  </si>
  <si>
    <t>18S-000004</t>
  </si>
  <si>
    <t>18S-000006</t>
  </si>
  <si>
    <t>18S-000011</t>
  </si>
  <si>
    <t>ATTAAAACAGTTACAGTTTACTTGATAATAAAATTTTACATGGATAACCGTGGTAATTCTAGAGCTAATACATGAACAAAATCTTGACTTTTTTAGAAAAGATGCATTTATTAGATAAAAAACCAATAAATACTTTTTAAGTATAAAAGTTGGTGATTTACAATAACTTAGCAAATCGCATAGTGAAAACTGGCGATAAATCATTCAAGTTTCTGACCTATCCGACGGTATGGTATTGGCATACCGTGGCAGTGACGGTTAACGGGGGATTAGGGTTCGATTCCGGAGAGGGAGCCTGAGAAACGGCTACCACATCTAAGGAAGGCAGCAGGCGCGCAAATTACCCAATTCTAACAGCATAAGAGAGGTAGTGACAAGAAATAACAATACAAGGCAGTTAAAATGCTTTGTAATTGGAATGATAGAAATTTAAACACTTTTTAAA</t>
  </si>
  <si>
    <t>084374b00954fb92699c9b04e14797c3</t>
  </si>
  <si>
    <t>18S-000014</t>
  </si>
  <si>
    <t>ATTAAAACAGTTACAGTTTACTTGATAATAAAATTTTACATGGATAACCGTGGTAATTCTAGAGCTAATACATGAGCAAAATCTTGACTTTTTTAGAAAAGATGCATTTATTAGATAAAAAACCAATAAATACTTTTTAAGTATAAAAGTTGGTGATTTACAATAACTTAGCAAATCGCATAATGAAAACTGGCGATAAATCATTCAAGTTTCTGACCTATCCGACGGTATGGTATTGGCATACCGTGGCAGTGACGGTTAACGGGGGATTAGGGTTCGATTCCGGAGAGGGAGCCTGAGAAACGGCTACCACATCTAAGGAAGGCAGCAGGCGCGCAAATTACCCAATTCTAACAGCATAAGAGAGGTAGTGACAAGAAATAACAATACAAGGCAGTTAAAATGCTTTGTAATTGGAATGATAGAAATTTAAACACTTTTTAAA</t>
  </si>
  <si>
    <t>da6ff9e21f75c371b3b41d36cb7f91c4</t>
  </si>
  <si>
    <t>18S-000018</t>
  </si>
  <si>
    <t>ATTAAAACAGTTACAGTTTACTTGATAATAAAATTTTACATGGATAACCGTGGTAATTCTAGAGCTAATACATGAGCAAAATCTTGACTTTTTTAGAAAAGATGCATTTATTAGATAAAAAACCAATACATACTTTTTAAGTATAAAAGTTGGTGATTTACAATAACTTAGCAAATCGCATAGTGAAAACTGGCGATAAATCATTCAAGTTTCTGACCTATCCGACGGTATGGTATTGGCTTACCGTGGCAGTGACGGTTAACGGGGGATTAGGGTTCGATTCCGGAGAGGGAGCCTGAGAAACGGCTACCACATCTAAGGAAGGCAGCAGGCGCGCAAATTACCCAATTCTAACAGCATAAAAGAGGTAGTGACAAGAAATAACAATACAAGGCAGTTAAAATGCTTTGTAATTGGAATGATAGAAATTTAAACACTTTTTAAA</t>
  </si>
  <si>
    <t>4dd807c213388fabdc8e86ca12e6d550</t>
  </si>
  <si>
    <t>18S-000019</t>
  </si>
  <si>
    <t>ATTAAAACAGTTACAGTTTATTTGATAATAAAGGTTTACATGGATAACCGTGGTAATTCTAGAGCTAATACATGAGCAAATTCTCGACTTTATTAGAAGGGAAGCATTTATTAGATAAAAAATCAGTGCATGTTTTTAAAACATGGAAGTTGGTGATTTACAATAACTAAGCAAATCGCAGTATGGTGAAAACTGGCGATAAATCATTCAAGTTTCTGACCTCGACGGTATGGTATTGGCTTACCGTGGCAGTGACGGTTAACGGGGGATTAGGGTTCGATTCCGGAGAGGGAGCCTGAGAAACGGCTACCACATCTAAGGAAGGCAGCAGGCGCGCAAATTACCCAATTCTAACAGGATAAGAGAGGTAGTGACAAGAAATAACAGTACAAGGCAGTTAAAATGCTTTGTAATTGGAATGATAGAAATTTAAACACTTTTTAAA</t>
  </si>
  <si>
    <t>027f3e1ee4e26388a67f4180c9102c67</t>
  </si>
  <si>
    <t>18S-000184</t>
  </si>
  <si>
    <t>18S-000078</t>
  </si>
  <si>
    <t>ATTAAAACAGTTACAGTTTACTTGATAATAAAATTTTACATGGATAACCGTGGTAATTCTAGAGCTAATACATGAGCAAAATCTTAACTTTTTTAGAAAAGATGCATTTATTAGATAAAAAACCAATACATACTTTTTAAGTATAAAAGTTGGTGATTTACAATAACTTAGCAAATCGCATAGTGAAAGCTGGCGATAAATCATTCAAGTTTCTGACCTATCCGACGGTATGGTATTGGCTTACCGTGGCAGTGACGGTTAACGGGGGATTAGGGTTCGATTCCGGAGAGGGAGCCTGAGAAACGGCTACCACATCTAAGGAAGGCAGCAGGCGCGCAAATTACCCAATTCTAACAGCATAAGAGAGGTAGTGACAAGAAATAACAATACAAGGCAGTTAAAATGCTTTGTAATTGGAATGATAGAAATTTAAACACTTTTTAAA</t>
  </si>
  <si>
    <t>b59d877536669dad35005a43355702de</t>
  </si>
  <si>
    <t>18S-000120</t>
  </si>
  <si>
    <t>ATTAAAACAGTTACAGTTTACTTGATAATAAAATTTTACATGGATAACCGTGGTAATTCTAGAGCTAATACATGAGCAAAATCTTGACTTTTTTAGAAAAGATGCATTTATTAGATAAAAAACCAATAAATACTTTTAAAGTATAAAAGTTGGTGATTTACAATAACTTAGCAAATCGCATAGTGAAAACTGGCGATAAATCATTCAAGTTTCTGACCTATCCGACGGTATGGTATTGGCTTACCGTGGCAGTGACGGTTAACGGGGGATTAGGGTTCGATTCCGGAGAGGGAGCCTGAGAAACGGCTACCACATCTAAGGAAGGCAGCAGGCGCGCAAATTACCCAATTCTAACAGGATAAGAGAGGTAGTGACAAGAAATAACAGTACAAGGCAGTTAAAATGCTTTGTAATTGGAATGATAGAAATTTAAACACTTTTTAAA</t>
  </si>
  <si>
    <t>f8654ea8c5617264d1ebcc60710fcbbc</t>
  </si>
  <si>
    <t>18S-001627</t>
  </si>
  <si>
    <t>ATTAAAACAGTTACAGTTTACTTGATAATAAAATTTTACATGGATAACCGTGGTAATTCTAGAGCTAATACATGAGCAAAATCTTGACTTTTTTAGAAAAGATGCATTTATTAGATAAAAAACCAATAAATACTTTTAAAGTATAAAAGTTGGTGATTTACAATAACTTAGCAAATCGCATAGTGAAAACTGGCGATAAATCATTCAAGTTTCTGACCTATCCGACGGTATGGTATTGGCATACCGTGGCAGTGACGGTTAACGGGGGATTAGGGTTCGATTCCGGAGAGGGAGCCTGAGAAACGGCTACCACATCTAAGGAAGGCAGCAGGCGCGCAAATTACCCAATTCTAACAGGATAAGAGAGGTAGTGACAAGAAATAACAGTACAAGGCAGTTAAAATGCTTTGTAATTGGAATGATAGAAATTTAAACACTTTTTAAA</t>
  </si>
  <si>
    <t>67e7513f215b93960be6a56d9c7b3faf</t>
  </si>
  <si>
    <t>18S-001781</t>
  </si>
  <si>
    <t>ATTAAAACAGTTACAGTTTATTTGATAATAAAGGTTTACATGGATAACCGTGGTAATTCTAGAGCTAATACATGAGCAAATTCTCGACTTTATTAGAAGGGAAGCATTTATTAGATAAAAAATCAGTGCATGTTTTTAAAACATGGAAGTTGGTGATTTACAATAACTAAGCAAATCGCAGTATGGTGAAAACTGGCGATAAATCATTCAAGTTTCTGACCTCGACGGTATGGTATTGGCTTACCGTGGCAGTGACGGTTAACGGGGGATTAGGGTTCGATTCCGGAGAGGGAGCCTGAGAAACGGCTACCACATCTAAGGAAGGCAGCAGGCGCGCAAATTACCCAATTCTAACAGCATAAGAGAGGTAGTGACAAGAAATAACAATACAAGGCAGTTAAAATGCTTTGTAATTGGAATGATAGAAATTTAAACACTTTTTAAA</t>
  </si>
  <si>
    <t>d2fcba3cc2d24050731cfcf410006a2d</t>
  </si>
  <si>
    <t>18S-001122</t>
  </si>
  <si>
    <t>new name</t>
  </si>
  <si>
    <t>G29</t>
  </si>
  <si>
    <t>G35</t>
  </si>
  <si>
    <t>G36</t>
  </si>
  <si>
    <t>G38</t>
  </si>
  <si>
    <t>G39</t>
  </si>
  <si>
    <t>G45</t>
  </si>
  <si>
    <t>G46</t>
  </si>
  <si>
    <t>G50</t>
  </si>
  <si>
    <t>G51</t>
  </si>
  <si>
    <t>G53</t>
  </si>
  <si>
    <t>G54</t>
  </si>
  <si>
    <t>G55</t>
  </si>
  <si>
    <t>G56</t>
  </si>
  <si>
    <t>G57</t>
  </si>
  <si>
    <t>G58</t>
  </si>
  <si>
    <t>G59</t>
  </si>
  <si>
    <t>G60</t>
  </si>
  <si>
    <t>G61</t>
  </si>
  <si>
    <t>G62</t>
  </si>
  <si>
    <t>G63</t>
  </si>
  <si>
    <t>G64</t>
  </si>
  <si>
    <t>G65</t>
  </si>
  <si>
    <t>G66</t>
  </si>
  <si>
    <t>G67</t>
  </si>
  <si>
    <t>G68</t>
  </si>
  <si>
    <t>G69</t>
  </si>
  <si>
    <t>G70</t>
  </si>
  <si>
    <t>G71</t>
  </si>
  <si>
    <t>G72</t>
  </si>
  <si>
    <t>G73</t>
  </si>
  <si>
    <t>G74</t>
  </si>
  <si>
    <t>G75</t>
  </si>
  <si>
    <t>G76</t>
  </si>
  <si>
    <t>G77</t>
  </si>
  <si>
    <t>G78</t>
  </si>
  <si>
    <t>G79</t>
  </si>
  <si>
    <t>G80</t>
  </si>
  <si>
    <t>G81</t>
  </si>
  <si>
    <t>G82</t>
  </si>
  <si>
    <t>G83</t>
  </si>
  <si>
    <t>G84</t>
  </si>
  <si>
    <t>G85</t>
  </si>
  <si>
    <t>G86</t>
  </si>
  <si>
    <t>G87</t>
  </si>
  <si>
    <t>G88</t>
  </si>
  <si>
    <t>G89</t>
  </si>
  <si>
    <t>G90</t>
  </si>
  <si>
    <t>G91</t>
  </si>
  <si>
    <t>G92</t>
  </si>
  <si>
    <t>G106</t>
  </si>
  <si>
    <t>G107</t>
  </si>
  <si>
    <t>G108</t>
  </si>
  <si>
    <t>G109</t>
  </si>
  <si>
    <t>G110</t>
  </si>
  <si>
    <t>G111</t>
  </si>
  <si>
    <t>G112</t>
  </si>
  <si>
    <t>G113</t>
  </si>
  <si>
    <t>G114</t>
  </si>
  <si>
    <t>G115</t>
  </si>
  <si>
    <t>G119</t>
  </si>
  <si>
    <t>G120</t>
  </si>
  <si>
    <t>G121</t>
  </si>
  <si>
    <t>G122</t>
  </si>
  <si>
    <t>G123</t>
  </si>
  <si>
    <t>G124</t>
  </si>
  <si>
    <t>G125</t>
  </si>
  <si>
    <t>G126</t>
  </si>
  <si>
    <t>G127</t>
  </si>
  <si>
    <t>G128</t>
  </si>
  <si>
    <t>G132</t>
  </si>
  <si>
    <t>G133</t>
  </si>
  <si>
    <t>G134</t>
  </si>
  <si>
    <t>G135</t>
  </si>
  <si>
    <t>G136</t>
  </si>
  <si>
    <t>G137</t>
  </si>
  <si>
    <t>G138</t>
  </si>
  <si>
    <t>G139</t>
  </si>
  <si>
    <t>G140</t>
  </si>
  <si>
    <t>G141</t>
  </si>
  <si>
    <t>G148</t>
  </si>
  <si>
    <t>G149</t>
  </si>
  <si>
    <t>G150</t>
  </si>
  <si>
    <t>G151</t>
  </si>
  <si>
    <t>G152</t>
  </si>
  <si>
    <t>G153</t>
  </si>
  <si>
    <t>G154</t>
  </si>
  <si>
    <t>G155</t>
  </si>
  <si>
    <t>G156</t>
  </si>
  <si>
    <t>G157</t>
  </si>
  <si>
    <t>G158</t>
  </si>
  <si>
    <t>G159</t>
  </si>
  <si>
    <t>G160</t>
  </si>
  <si>
    <t>G161</t>
  </si>
  <si>
    <t>G162</t>
  </si>
  <si>
    <t>G163</t>
  </si>
  <si>
    <t>G164</t>
  </si>
  <si>
    <t>G165</t>
  </si>
  <si>
    <t>G166</t>
  </si>
  <si>
    <t>G167</t>
  </si>
  <si>
    <t>G168</t>
  </si>
  <si>
    <t>G169</t>
  </si>
  <si>
    <t>G170</t>
  </si>
  <si>
    <t>G171</t>
  </si>
  <si>
    <t>G172</t>
  </si>
  <si>
    <t>G173</t>
  </si>
  <si>
    <t>G174</t>
  </si>
  <si>
    <t>G175</t>
  </si>
  <si>
    <t>G176</t>
  </si>
  <si>
    <t>G177</t>
  </si>
  <si>
    <t>ATTAAAACAGTTACAGTTTACTTGATAATAAAATTTTACATGGATAACCGTGGTAATTCTAGAGCTAATACATGAGCAAAATCTTGACTTTTTTAGAAAAGATGCATTTATTAGATAAAAAACCAATACATACTTTTTAAGTATAAAAGTTGGTGATTTACAATAACTTAGCAAATCGCATAGTGAAAACTGGCGATAAATCATTCAAGTTTCTGACCTATCAGCTTTCGACGGTATGGTATTGGCTTACCGTGGCAGTGACGGTTAACGGGGGATTAGGGTTCGATTCCGGAGAGGGAGCCTGAGAAACGGCTACCACATCTAAGGAAGGCAGCAGGCGCGCAAATTACCCAATTCTAACAGCATAAGAGAGGTAGTGACAAGAAATAACAATACAAGGCAGTTAAAATGCTTTGTAATTGGAATGATAGAAATTTAAACACTTTTTAAA</t>
  </si>
  <si>
    <t>b4d0921a51c60829296c1eee0689f07d</t>
  </si>
  <si>
    <t>ATTAAAACAGTTACAGTTTACTTGATAATAAAATTTTACATGGATAACCGTGGTAATTCTAGAGCTAATACATGAGCAAAATCTTGACTTTTTTAGAAAAGATGCATTTATTAGATAAAAAACCAATACATACTTTTTAAGTATAAAAGTTGGTGATTTACAATAACTTAGCAAATCGCATAGTGAAAGCTGGCGATAAATCATTCAAGTTTCTGACCTATCAGCTTTCGACGGTATGGTATTGGCTTACCGTGGCAGTGACGGTTAACGGGGGATTAGGGTTCGATTCCGGAGAGGGAGCCTGAGAAACGGCTACCACATCTAAGGAAGGCAGCAGGCGCGCAAATTACCCAATTCTAACAGCATAAGAGAGGTAGTGACAAGAAATAACAATACAAGGCAGTTAAAATGCTTTGTAATTGGAATGATAGAAATTTAAACACTTTTTAAA</t>
  </si>
  <si>
    <t>77df7cdcc80321e9802fbac32f670987</t>
  </si>
  <si>
    <t>ATTAAAACAGTTACAGTTTACTTGATAATAAAATTTTACATGGATAACCGTGGTAATTCTAGAGCTAATACATGAGCAAAATCTTGACTTTTTTAGAAAAGATGCATTTATTAGATAAAAAACCAATAAATACTTTTTAAGTATAAAAGTTGGTGATTTACAATAACTTAGCAAATCGCATAGTGAAAACTGGCGATAAATCATTCAAGTTTCTGACCTATCAGCTTTCGACGGTATGGTATTGGCATACCGTGGCAGTGACGGTTAACGGGGGATTAGGGTTCGATTCCGGAGAGGGAGCCTGAGAAACGGCTACCACATCTAAGGAAGGCAGCAGGCGCGCAAATTACCCAATTCTAACAGCATAAGAGAGGTAGTGACAAGAAATAACAATACAAGGCAGTTAAAATGCTTTGTAATTGGAATGATAGAAATTTAAACACTTTTTAAA</t>
  </si>
  <si>
    <t>4a80dca84e6f2a1ce6c417c85c3ec8af</t>
  </si>
  <si>
    <t>ATTAAAACAGTTACAGTTTACTTGATAATAAAATTTTACATGGATAACCGTGGTAATTCTAGAGCTAATACATGAGCAAAATCTTGACTTTTTTAGAAAAGATGCATTTATTAGATAAAAAACCAATACATACTTTTTAAGTATAAAAAATGGTGATTTACAATAACTTAGCAAATCGCATAGTGAAAACTGGCGATAAATCATTCAAGTTTCTGACCTATCAGCTTTCGACGGTATGGTATTGGCTTACCGTGGCAGTGACGGTTAACGGGGGATTAGGGTTCGATTCCGGAGAGGGAGCCTGAGAAACGGCTACCACATCTAAGGAAGGCAGCAGGCGCGCAAATTACCCAATTCTAACAGCATAAGAGAGGTAGTGACAAGAAATAACAATACAAGGCAGTTAAAATGCTTTGTAATTGGAATGATAGAAATTTAAACACTTTTTAAA</t>
  </si>
  <si>
    <t>2fb9313aa1385c66dcbec4330bbbff7d</t>
  </si>
  <si>
    <t>ATTAAAACAGTTACAGTTTACTTGATAATAAAATTTTACATGGATAACCGTGGTAATTCTAGAGCTAATACATGAGCAAAATCTTGACTTTTTTAGAAAAGATGCATTTATTAGATAAAAAACCAATAAATACTTTTAAAGTATAAAAGTTGGTGATTTACAATAACTTAGCAAATCGCATAGTGAAAACTGGCGATAAATCATTCAAGTTTCTGACCTATCAGCTTTCGACGGTATGGTATTGGCATACCGTGGCAGTGACGGTTAACGGGGGATTAGGGTTCGATTCCGGAGAGGGAGCCTGAGAAACGGCTACCACATCTAAGGAAGGCAGCAGGCGCGCAAATTACCCAATTCTAACAGCATAAGAGAGGTAGTGACAAGAAATAACAATACAAGGCAGTTAAAATGCTTTGTAATTGGAATGATAGAAATTTAAACACTTTTTAAA</t>
  </si>
  <si>
    <t>69cf617f0f3569fc99bc3450c378397e</t>
  </si>
  <si>
    <t>18S-000010</t>
  </si>
  <si>
    <t>l012</t>
  </si>
  <si>
    <t>ATTAAAACAGTTACAGTTTACTTGATAATAAAATTTTACATGGATAACCGTGGTAATTCTAGAGCTAATACATGAGCAAAATCTTGACTTTTTTAGAAAAGATGCATTTATTAGATAAAAAACCAATAAATACTTTTTAAGTATAAAAGTTGGTGATTTACAATAACTTAGCAAATCGCATAGTAAAAACTGGCGATAAATCATTCAAGTTTCTGACCTATCAGCTTTCGACGGTATGGTATTGGCATACCGTGGCAGTGACGGTTAACGGGGGATTAGGGTTCGATTCCGGAGAGGGAGCCTGAGAAACGGCTACCACATCTAAGGAAGGCAGCAGGCGCGCAAATTACCCAATTCTAACAGCATAAGAGAGGTAGTGACAAGAAATAACAATACAAGGCAGTTAAAATGCTTTGTAATTGGAATGATAGAAATTTAAACACTTTTTAAA</t>
  </si>
  <si>
    <t>7d515c4ce58f83078fc9afb5a152681e</t>
  </si>
  <si>
    <t>l021</t>
  </si>
  <si>
    <t>ATTAAAACAGTTACAGTTTACTTGATAATAAAATTTTACATGGATAACCGTGGTAATTCTAGAGCTAATACATGAGCAAAATCTTGACTTTTTTAGAAAAGATGCATTTATTAGATAAAAAACCAATACATACTTTTTAAGTATAAAAGTTGGTGATTTACAATAACTTAGCAAATCGCATAGTGAAAACTGGCGATAAATCATTCAAGTTTCTGACCTATCAGCTTTCGACGGTATGGTATTGGCTTACCGTGGCAGTGACGGTTAACGGGGGATTAGGGTTCGATTCCGGAGAGGGAGCCTAAGAAACGGCTACCACATCTAAGGAAGGCAGCAGGCGCGCAAATTACCCAATTCTAACAGCATAAGAGAGGTAGTGACAAGAAATAACAATACAAGGCAGTTAAAATGCTTTGTAATTGGAATGATAGAAATTTAAACACTTTTTAAA</t>
  </si>
  <si>
    <t>cba219fefff03286bc8c05d17f139c7e</t>
  </si>
  <si>
    <t>18S-000016</t>
  </si>
  <si>
    <t>l022</t>
  </si>
  <si>
    <t>ATTAAAACAGTTACAGTTTACTTGATAATAAAATTTTACATGGATAACCGTGGTAATTCTAGAGCTAATACATGAGCAAAATCTTGACTTTTTTAGAAAAGATGCATTTATTAGATAAAAAACCAGTACATACTTTTTAAGTATAAAAAATGGTGATTTACAATAACTTAGCAAATCGCATAGTGAAAACTGGCGATAAATCATTCAAGTTTCTGACCTATCAGCTTTCGACGGTATGGTATTGGCTTACCGTGGCAGTGACGGTTAACGGGGGATTAGGGTTCGATTCCGGAGAGGGAGCCTGAGAAACGGCTACCACATCTAAGGAAGGCAGCAGGCGCGCAAATTACCCAATTCTAACAGCATAAGAGAGGTAGTGACAAGAAATAACAATACAAGGCAGTTAAAATGCTTTGTAATTGGAATGATAGAAATTTAAACACTTTTTAAA</t>
  </si>
  <si>
    <t>2f102c006b18d7871f03620673aff723</t>
  </si>
  <si>
    <t>18S-000024</t>
  </si>
  <si>
    <t>ATTAAAACAGTTACAGTCTATTTGATAATAAAGGTTTACATGGATAACCGTGGTAATTCTAGAGCTAATACATGAGCACATTCTCGGCTTTATTAGAAGAGAAGTATTTATTAGATAAAAAATCAGTGCATGTTTTTAAAACATGGAAGTTGGTGATTTACAATAACTAAGCAAATCGCATAGTGAAAACTGGCGATAAATCATTCAAGTTTCTGACCTATCAGCTTTCGACGGTATGGTATTGGCTTACCGTGGCAGTGACGGTTAACGGGGGATTAGGGTTCGATTCCGGAGAGGGAGCCTGAGAAACGGCTACCACATCTAAGGAAGGCAGCAGGCGCGCAAATTACCCAATTCTAACAGGATAAGAGAGGTAGTGACAAGAAATAACAGTACAAGGCAGTTAAAATGCTTTGTAATTGGAATGATAGAAATTTAAACACTTTTTAAA</t>
  </si>
  <si>
    <t>5d3c8153256a13633989f48705cefa6c</t>
  </si>
  <si>
    <t>18S-000030</t>
  </si>
  <si>
    <t>l025</t>
  </si>
  <si>
    <t>ATTAAAACAGTTACAGTTTACTTGATAATTAAATTTTACATGGATAACCGTGGTAATTCTAGAGCTAATACATGAGCAAAATCTTGACTTTTTTAGAAAAGATGCATTTATTAGATAAAAAACCAATACATACTTTTTAAGTATAAAAGTTGGTGATTTACAATAACTTAGCAAATCGCATAGTGAAAACTGGCGATAAATCATTCAAGTTTCTGACCTATCAGCTTTCGACGGTATGGTATTGGCTTACCGTGGCAGTGACGGTTAACGGGGGATTAGGGTTCGATTCCGGAGAGGGAGCCTGAGAAACGGCTACCACATCTAAGGAAGGCAGCAGGCGCGCAAATTACCCAATTCTAACAGCATAAGAGAGGTAGTGACAAGAAATAACAATACAAGGCAGTTAAAATGCTTTGTAATTGGAATGATAGAAATTTAAACACTTTTTAAA</t>
  </si>
  <si>
    <t>ca9974445979f76c12d7d5ddee6b7689</t>
  </si>
  <si>
    <t>18S-000034</t>
  </si>
  <si>
    <t>l032</t>
  </si>
  <si>
    <t>ATTAAAACAGTTACAGTTTACTTGATAATAAAATTTTACATGGATAACCGTGGTAATTCTAGAGCTAATACATGAACAAAATCTTGACTTTTTTAGAAAAGATGCATTTATTAGATAAAAAACCAATAAATACTTTTTAAGTATAAAAGTTGGTGATTTACAATAACTTAGCAAATCGCATAGTAAAAACTGGCGATAAATCATTCAAGTTTCTGACCTATCAGCTTTCGACGGTATGGTATTGGCATACCGTGGCAGTGACGGTTAACGGGGGATTAGGGTTCGATTCCGGAGAGGGAGCCTGAGAAACGGCTACCACATCTAAGGAAGGCAGCAGGCGCGCAAATTACCCAATTCTAACAGCATAAGAGAGGTAGTGACAAGAAATAACAATACAAGGCAGTTAAAATGCTTTGTAATTGGAATGATAGAAATTTAAACACTTTTTAAA</t>
  </si>
  <si>
    <t>60638a568ed9cfca1add2589b722d3f6</t>
  </si>
  <si>
    <t>18S-000052</t>
  </si>
  <si>
    <t>l034</t>
  </si>
  <si>
    <t>ATTAAAACAGTTACAGTTTACTTGATAATAAAATTTTACATGGATAACCGTGGTAATTCTAGAGCTAATACATGAGCAAAATCTTGACTTTTTTAGAAAAGATGCATTTATTAGATAAAAAACCAATAAATACTTTTTAAGTATAAAAGTTGGTGATTTACAATAACTTAGCAAATCGCATAGTGAAAACTGGCGATAAATCATTCAAGTTTCTGACCTATCAGCTTTCGACGGTATGGTATTGGCATACCGTGGCAGTGACGGTTAACGGGGGATTAGGGTTCGATTCCGGAGAGGGAGCCTGAGAAACGGCTACCACATCTAAGGAAGGCAGCAGGCGCGCAAATTACCCAATTCTAACAGCATAAGAGAGGTAGTGACAAGAAATAACAATACAAAGCAGTTAAAATGCTTTGTAATTGGAATGATAGAAATTTAAACACTTTTTAAA</t>
  </si>
  <si>
    <t>ed2a01e0d80d83267ab89c0b2071f390</t>
  </si>
  <si>
    <t>18S-000055</t>
  </si>
  <si>
    <t>l037</t>
  </si>
  <si>
    <t>ATTAAAACAGTTACAGTTTACTTGATAATAAAATTTTACATGGATAACCGTGGTAATTCTAGAGCTAATACATGAGCAAAATCTTGACTTTTTTAGAAAAGATGCATTTATTAGATAAAAAACCAATAAATACTTTTTAAGTATAAAAGTTGGTGATTTACAATAACTTAGCAAATCGCATAGTGAAAACTGGCGATAAATCATTCAAGTTTCTGACCTATCAGCTTTCGACGGTATGGTATTGGCATACCGTGGCAGTGACGGTTAACGGGGGATTAGGGTTCGATTCCGGAGAGGGAGCCTGAGAAACGGCTACCACATCTAAGGAAGGCAGCAGGCGCGCAAATTACCCAATTCTAACAGCATAAGAGAGGTAGTAACAAGAAATAACAATACAAGGCAGTTAAAATGCTTTGTAATTGGAATGATAGAAATTTAAACACTTTTTAAA</t>
  </si>
  <si>
    <t>ba253b64c488d2ef02e0d4cceee307c3</t>
  </si>
  <si>
    <t>18S-000051</t>
  </si>
  <si>
    <t>l039</t>
  </si>
  <si>
    <t>ATTAAAACAGTTACAGTTTACTTGATAATAAAATTTTACATGGATAACCGTGGTAATTCTAGAGCTAATACATGAGCAAAATCTTGACTTTTTTAGAAAAGATGCATTTATTAGATAAAAAACCAATACATACTTTTTAAGTATAAAAAATGGTGATTTACAATAACTTAGCAAATCGCATAGTGAAAACTGGCGATAAATCATTCAAGTTTCTGACCTATCAGCTTTCGACGGTATGGTATTGGCTTACCGTGGCAGTGACGGTTAACGGGGGATTAGGGTTCGATTCCGGAGAGGGAGCCTAAGAAACGGCTACCACATCTAAGGAAGGCAGCAGGCGCGCAAATTACCCAATTCTAACAGCATAAGAGAGGTAGTGACAAGAAATAACAATACAAGGCAGTTAAAATGCTTTGTAATTGGAATGATAGAAATTTAAACACTTTTTAAA</t>
  </si>
  <si>
    <t>c882cf8a0302865cef94f2c30666c8b2</t>
  </si>
  <si>
    <t>ATTAAAACAGTTACAGTCTATTTGATAATAAAGGTTTACATGGATAACCGTGGTAATTCTAGAGCTAATACATGAGCACATTCTCGGCTTTATTAGAAGAGAAGTATTTATTAGATAAAAAATCAGTGCATGTTTTTAAAACATGGAAGTTGGTGATTTACAATAACTAAGCAAATCGCATAGTGAAAACTGGCGATAAATCATTCAAGTTTCTGACCTATCAGCTTTCGACGGTATGGTATTGGCTTACCGTGGCAGTGACGGTTAACGGGGGATTAGGGTTCGATTCCGGAGAGGGAGCCTGAGAAACGGCTACCACATCTAAGGAAGGCAGCAGGCGCGCAAATTACCCAATTCTAACAGCATAAGAGAGGTAGTGACAAGAAATAACAATACAAGGCAGTTAAAATGCTTTGTAATTGGAATGATAGAAATTTAAACACTTTTTAAA</t>
  </si>
  <si>
    <t>e1a2746a20dd8e9557c47855a961ac96</t>
  </si>
  <si>
    <t>18S-000161</t>
  </si>
  <si>
    <t>ATTAAAACAGTTACAGTTAACTTGATAATAAAATTTTACATGGATAACCGTGGTAATTCTAGAGCTAATACATGAGCAAAATCTTGACTTTTTTAGAAAAGATGCATTTATTAGATAAAAAACCAATAAATACTTTTTAAGTATAAAAGTTGGTGATTTACAATAACTTAGCAAATCGCATAGTGAAAACTGGCGATAAATCATTCAAGTTTCTGACCTATCAGCTTTCGACGGTATGGTATTGGCATACCGTGGCAGTGACGGTTAACGGGGGATTAGGGTTCGATTCCGGAGAGGGAGCCTGAGAAACGGCTACCACATCTAAGGAAGGCAGCAGGCGCGCAAATTACCCAATTCTAACAGCATAAGAGAGGTAGTGACAAGAAATAACAATACAAGGCAGTTAAAATGCTTTGTAATTGGAATGATAGAAATTTAAACACTTTTTAAA</t>
  </si>
  <si>
    <t>bcf210236f5ee60e6d28a46634825d5d</t>
  </si>
  <si>
    <t>18S-000103</t>
  </si>
  <si>
    <t>l048</t>
  </si>
  <si>
    <t>ATTAAAACAGTTACAGTTTACTTGATAATAAAATTTTACATGGATAACCGTGGTAATTCTAGAGCTAATACATGAGCAAAATCTTGACTTTTTTAGAAAAGATGCATTTATTAGATAAAAAACCAATAGATACTTTTTAAGTATAAAAGTTGGTGATTTACAATAACTTAGCAAATCGCATAGTGAAAACTGGCGATAAATCATTCAAGTTTCTGACCTATCAGCTTTCGACGGTATGGTATTGGCATACCGTGGCAGTGACGGTTAACGGGGGATTAGGGTTCGATTCCGGAGAGGGAGCCTGAGAAACGGCTACCACATCTAAGGAAGGCAGCAGGCGCGCAAATTACCCAATTCTAACAGCATAAGAGAGGTAGTGACAAGAAATAACAATACAAGGCAGTTAAAATGCTTTGTAATTGGAATGATAGAAATTTAAACACTTTTTAAA</t>
  </si>
  <si>
    <t>3f6a5ee9a3f468b8114cb4620a419680</t>
  </si>
  <si>
    <t>18S-000101</t>
  </si>
  <si>
    <t>ATTAAAACAGTTACAGTTTACTTGATAATAAAATTTTACATGGATAACCGTGGTAATTCTAGAGCTAATACATGAGCAAAATCTTGACTTTTTTAGAAAAGATGCATTTATTAGATAAAAAACCAATACATACTTTTTAAGTATAAAAGTTGGTGATTTACAATAACTTAGCAAATCGCATAGTGAAAACTGGCGATAAATCATTCAAGTTTCTGACCTATCAGCTTTCGACGGTATGGTATTGGCTTACCGTGGCAGTGACGGTTAACGGGGGATTAGGGTTCGATTCCGGAGAGGGAGCCTGAGAAACGGCTACCACATCTAAGGAAGGCAGCAGGCGCGCAAATTACCCAATTCTAACAGGATAAGAGAGGTAGTGACAAGAAATAACAGTACAAGGCAGTTAAAATGCTTTGTAATTGGAATGATAGAAATTTAAACACTTTTTAAA</t>
  </si>
  <si>
    <t>084bd275255c3eda8f6ba8471c35d526</t>
  </si>
  <si>
    <t>18S-000270</t>
  </si>
  <si>
    <t>l058</t>
  </si>
  <si>
    <t>ATTAAAACAGTTACAGTTTACTTGATAATAAAATTTTACATGGATAACCGTGGTAATTCTAGAGCTAATACATGAGCAAAATCTTGACTTTTTTAGAAAAGATGCATTTATTAGATAAAAAACCAATAAATACTTTTTAAGTATAAAAGTTGGTGATTTACAATAACTTAGCAAATCGCATAGTGAAAACTGGCGATAAATCATTCAAGTTTCTGACCTATCAGCTTTCGACGGTATGGTATTGGCATACCGTGGCATTGACGGTTAACGGGGGATTAGGGTTCGATTCCGGAGAGGGAGCCTGAGAAACGGCTACCACATCTAAGGAAGGCAGCAGGCGCGCAAATTACCCAATTCTAACAGCATAAGAGAGGTAGTAACAAGAAATAACAATACAAGGCAGTTAAAATGCTTTGTAATTGGAATGATAGAAATTTAAACACTTTTTAAA</t>
  </si>
  <si>
    <t>510b534e6393b7197dd6789e7f9025c3</t>
  </si>
  <si>
    <t>18S-000482</t>
  </si>
  <si>
    <t>l065</t>
  </si>
  <si>
    <t>ATTAAAACAGTTACAGTTTACTTGATAATAAAATTTTACATGGATAACCGTGGTAATTCTAGAGCTAATACATGAGCAAAATCTTGACTTTTTTAGAAAAGATGCATTTATTAGATAAAAAACCAATACATACTTTTTAAGTATAAAAAATGGTGATTTACAATAACTTAGCAAATCGCATAGTGAAAACTGGCGATAAATCATTCAAGTTTCTGACCTATCAGCTTTCGACGGTATGGTATTGGCTTACCGTGGCAGTGACGGTTAACGGGGGATTAGGGTTCGATTCCGGAGAGGGAGCCTGAAAAACGGCTACCACATCTAAGGAAGGCAGCAGGCGCGCAAATTACCCAATTCTAACAGCATAAGAGAGGTAGTGACAAGAAATAACAATACAAGGCAGTTAAAATGCTTTGTAATTGGAATGATAGAAATTTAAACACTTTTTAAA</t>
  </si>
  <si>
    <t>2bd3f550fcbb73104cdc49ff05cf0f22</t>
  </si>
  <si>
    <t>18S-000481</t>
  </si>
  <si>
    <t>l078</t>
  </si>
  <si>
    <t>ATTAAAACAGTTACAGTTTACTTGATAATAAAATTTTACATGGATAACCGTGGTAATTCTAGAGCTAATACATGAGCAAAATCTTGACTTTTTTAGAAAAGATGCATTTATTAGATAAAAAACCAATAAATACTTTTTAAGTATAAAAGTTGGTGATTTACAATAACTTAGCAAATCGCATAGTGAAAACTGGCGATAAATCATTCAAGTTTCTGACCTATCAGCTTTCGACGGTATGGTATTGGCATACCGTGGCATTGACGGTTAACGGGGGATTAGGGTTCGATTCCGGAGAGGGAGCCTGAGAAACGGCTACCACATCTAAGGAAGGCAGCAGGCGCGCAAATTACCCAATTCTAACAGCATAAGAGAGGTAGTGACAAGAAATAACAATACAAGGCAGTTAAAATGCTTTGTAATTGGAATGATAGAAATTTAAACACTTTTTAAA</t>
  </si>
  <si>
    <t>bb4a7181b42efb79974ad85f3dbebb7f</t>
  </si>
  <si>
    <t>18S-000302</t>
  </si>
  <si>
    <t>ATTAAAACAGTTACAGTTTATTTGATAATAAAGGTTTACATGGATAACCGTGGTAATTCTAGAGCTAATACATGAGCAAATTCTCGACTTTATTAGAAGGGAAGCATTTATTAGATAAAAAATCAGTGCATGTTTTTAAAACATGGAAGTTGGTGATTTACAATAACTAAGCAAATCGCAGTATGGTGAAAACTGGCGATAAATCATTCAAGTTTCTGACCTATCAGCTTTCGACGGTATGGTATTGGCTTACCGTGGCAGTGACGGTTAACGGGGGATTAGGGTTCGATTCCGGAGAGGGAGCCTGAGAAACGGCTACCACATCTAAGGAAGGCAGCAGGCGCGCAAATTACCCAATTCTAACAGCATAAGAGAGGTAGTGACAAGAAATAACAGTACAAGGCAGTTAAAATGCTTTGTAATTGGAATGATAGAAATTTAAACACTTTTTAAA</t>
  </si>
  <si>
    <t>3a2b6db1847cc9ce2fc4768b33e5128e</t>
  </si>
  <si>
    <t>18S-001399</t>
  </si>
  <si>
    <t>l107</t>
  </si>
  <si>
    <t>ATTAAAACAGTTACAGTTTATTTGATAATAAAGGTTTACATGGATAACCGTGGTAATTCTAGAGCTAATACATGAGCAAATTCTCGACTTTATTAGAATTGAAGCATTTATTAGATAAAAAATCAGTGCATGTGTTTAAAACATGGAAGTTGGTGATTTACAATAACTAAGCAAATCGCAGTATGGTGAAAACTGGCGATAAATCATTCAAGTTTCTGATCTATCAGCTTTCGACGGTATGGTATTGGCTTACCGTGGCAGTGACGGTTAACGGGGAATTAGGGTTCGATTCCGGAGAGGGAGCCTGAGAAACGGCTACCACATCTAAGGAAGGCAGCAGGCGCGCAAATTACCCAATTCTAACAGCATAAGAGAGGTAGTGACAAGAAATAACAGTACAAGGCAGTTAAAATGCTTTGTAATTGGAATGATAGAAATTTAAACACTTTTTAAA</t>
  </si>
  <si>
    <t>7bf2d4dd0097bc0488e365f499a693b9</t>
  </si>
  <si>
    <t>18S-001447</t>
  </si>
  <si>
    <t>Liz002</t>
  </si>
  <si>
    <t>Liz003</t>
  </si>
  <si>
    <t>Liz012</t>
  </si>
  <si>
    <t>Liz014</t>
  </si>
  <si>
    <t>Liz017</t>
  </si>
  <si>
    <t>Liz018</t>
  </si>
  <si>
    <t>Liz022</t>
  </si>
  <si>
    <t>Liz032</t>
  </si>
  <si>
    <t>Liz034</t>
  </si>
  <si>
    <t>Liz036</t>
  </si>
  <si>
    <t>Hepatozoon</t>
  </si>
  <si>
    <t>l001_Liz001_Liz013</t>
  </si>
  <si>
    <t>l002_Liz005_Liz026</t>
  </si>
  <si>
    <t>l004_Liz004_Liz035</t>
  </si>
  <si>
    <t>l005_Liz006</t>
  </si>
  <si>
    <t>l009_Liz008</t>
  </si>
  <si>
    <t>l043_Liz029</t>
  </si>
  <si>
    <t>l049_Liz019</t>
  </si>
  <si>
    <t>l106_Liz015</t>
  </si>
  <si>
    <t>l024_Liz007</t>
  </si>
  <si>
    <t>l040_Liz025</t>
  </si>
  <si>
    <t>Cono Teide</t>
  </si>
  <si>
    <t>El Médano</t>
  </si>
  <si>
    <t>Granadilla</t>
  </si>
  <si>
    <t>Vilaflor</t>
  </si>
  <si>
    <t>Base Teide</t>
  </si>
  <si>
    <t>Gúímar</t>
  </si>
  <si>
    <t>El Pris</t>
  </si>
  <si>
    <t>Punta del Hidalgo</t>
  </si>
  <si>
    <t>La Laguna</t>
  </si>
  <si>
    <t>Adeje</t>
  </si>
  <si>
    <t>Buena Vista</t>
  </si>
  <si>
    <t>CT</t>
  </si>
  <si>
    <t>Porís de Arico</t>
  </si>
  <si>
    <t>Sabinita</t>
  </si>
  <si>
    <t>Área Recreativa</t>
  </si>
  <si>
    <t>Observatorio Izaña</t>
  </si>
  <si>
    <t>Valle de Arriba</t>
  </si>
  <si>
    <t>Benijo - Anaga</t>
  </si>
  <si>
    <t>La Esperanza</t>
  </si>
  <si>
    <t>Cruz de Tea - 1000 m</t>
  </si>
  <si>
    <t>San José de Los Llanos</t>
  </si>
  <si>
    <t>El Tanque - Lomo Molino</t>
  </si>
  <si>
    <t>Corona Forestal</t>
  </si>
  <si>
    <t>Réplica Corona Forestal</t>
  </si>
  <si>
    <t>Mirador de Los Poleos</t>
  </si>
  <si>
    <t>Gg23</t>
  </si>
  <si>
    <t>Gg26</t>
  </si>
  <si>
    <t>Gg14</t>
  </si>
  <si>
    <t>Gg19</t>
  </si>
  <si>
    <t>Gg05</t>
  </si>
  <si>
    <t>Gg15</t>
  </si>
  <si>
    <t>Gg29</t>
  </si>
  <si>
    <t>Gg28</t>
  </si>
  <si>
    <t>Gg22</t>
  </si>
  <si>
    <t>Gg36</t>
  </si>
  <si>
    <t>Gg30</t>
  </si>
  <si>
    <t>Gg09</t>
  </si>
  <si>
    <t>Gg27</t>
  </si>
  <si>
    <t>Gg24</t>
  </si>
  <si>
    <t>Gg02</t>
  </si>
  <si>
    <t>Gg03</t>
  </si>
  <si>
    <t>Gg01</t>
  </si>
  <si>
    <t>Gg13</t>
  </si>
  <si>
    <t>Gg12</t>
  </si>
  <si>
    <t>Gg16</t>
  </si>
  <si>
    <t>Gg18</t>
  </si>
  <si>
    <t>Gg17</t>
  </si>
  <si>
    <t>Gg25</t>
  </si>
  <si>
    <t>Gg08</t>
  </si>
  <si>
    <t>Gg04</t>
  </si>
  <si>
    <t>Gg07</t>
  </si>
  <si>
    <t>Gg31</t>
  </si>
  <si>
    <t>Gg34</t>
  </si>
  <si>
    <t>Gg33</t>
  </si>
  <si>
    <t>Gg35</t>
  </si>
  <si>
    <t>Gg32</t>
  </si>
  <si>
    <t>Gg37</t>
  </si>
  <si>
    <t>ID_extraction</t>
  </si>
  <si>
    <t>Locality_TNF</t>
  </si>
  <si>
    <t>Gg06</t>
  </si>
  <si>
    <t>Karyolysus</t>
  </si>
  <si>
    <t>Haplotype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</si>
</sst>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1" fillId="0" borderId="0" xfId="0" applyFont="1" applyFill="1"/>
    <xf numFmtId="0" fontId="3" fillId="0" borderId="0" xfId="1" applyFont="1" applyFill="1"/>
    <xf numFmtId="0" fontId="0" fillId="0" borderId="1" xfId="1" applyFont="1" applyFill="1" applyBorder="1"/>
    <xf numFmtId="0" fontId="2" fillId="0" borderId="1" xfId="1" applyFill="1" applyBorder="1"/>
    <xf numFmtId="0" fontId="0" fillId="0" borderId="1" xfId="0" applyFill="1" applyBorder="1"/>
    <xf numFmtId="0" fontId="2" fillId="0" borderId="0" xfId="1" applyFill="1"/>
    <xf numFmtId="0" fontId="0" fillId="0" borderId="0" xfId="1" applyFont="1" applyFill="1" applyBorder="1"/>
  </cellXfs>
  <cellStyles count="2">
    <cellStyle name="Normal" xfId="0" builtinId="0"/>
    <cellStyle name="Normalny 2" xfId="1" xr:uid="{00000000-0005-0000-0000-000001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rodrigo.megia@gmail.com" id="{84B30109-86C6-4700-9BBF-CA19471A7D76}" userId="076dea6dd0dcb411" providerId="Windows Live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21" dT="2021-02-15T10:24:53.38" personId="{84B30109-86C6-4700-9BBF-CA19471A7D76}" id="{201DB02F-6500-4CE0-8332-52C2D604C1C6}">
    <text>con "Liz" significa segunda tanda de NGS (no significa que sea lagarto)
además inicialmente se llamaron como haplotipos distintos los Liz001_Liz013 pero luego resultó ser el mismo</text>
  </threadedComment>
  <threadedComment ref="C29" dT="2021-02-15T14:02:26.28" personId="{84B30109-86C6-4700-9BBF-CA19471A7D76}" id="{7439B358-9F7E-4B33-BFEA-FE0C5F14A684}">
    <text>Select seq MG787243.2	Hepatozoon sp. BT-2018 A 18S ribosomal RNA gene, partial sequence	Hepatozoon sp. BT-2018 A	789	789	100%	0.0	98.45%	1696	MG787243.2
En Gallotia atlantica</text>
  </threadedComment>
  <threadedComment ref="K29" dT="2021-02-15T10:24:21.48" personId="{84B30109-86C6-4700-9BBF-CA19471A7D76}" id="{53CF47B7-7A16-4A15-884C-B5DF7AEB420C}">
    <text>Esto puede ser otra cosa que Karyolysus
Considerar ignorarlos o contabilizarlos tras BLAST</text>
  </threadedComment>
  <threadedComment ref="C30" dT="2021-02-15T14:11:32.90" personId="{84B30109-86C6-4700-9BBF-CA19471A7D76}" id="{7BA8B56D-5757-4C0C-A3CF-8BAC0AADE9CC}">
    <text>Select seq MH174343.1	Hepatozoon sp. isolate HepOat4 small subunit ribosomal RNA gene, partial sequence	Hepatozoon sp.	769	769	100%	0.0	97.36%	1671	MH174343.1
hepatozoon en Ornithodoros atacamensis</text>
  </threadedComment>
  <threadedComment ref="C31" dT="2021-02-15T14:07:16.92" personId="{84B30109-86C6-4700-9BBF-CA19471A7D76}" id="{9F5BD4BB-70E7-43E3-8D33-65498110A185}">
    <text>Select seq MH174343.1	Hepatozoon sp. isolate HepOat4 small subunit ribosomal RNA gene, partial sequence	Hepatozoon sp.	706	706	100%	0.0	95.15%	1671	MH174343.1
Hepatozoon en Ornithodoros atacanamensis</text>
  </threadedComment>
  <threadedComment ref="C32" dT="2021-02-15T14:05:31.46" personId="{84B30109-86C6-4700-9BBF-CA19471A7D76}" id="{65FBFD8C-7EBD-4AC2-A78B-CD5AF41284C3}">
    <text>Select seq MH174343.1	Hepatozoon sp. isolate HepOat4 small subunit ribosomal RNA gene, partial sequence	Hepatozoon sp.	706	706	100%	0.0	95.15%	1671	MH174343.1
hepatozoon en Ornithodoros atacanamensis</text>
  </threadedComment>
  <threadedComment ref="C33" dT="2021-02-15T14:10:04.84" personId="{84B30109-86C6-4700-9BBF-CA19471A7D76}" id="{02BBAA6F-32C4-4D62-BEEC-06A061CADA2C}">
    <text>Select seq MH174343.1	Hepatozoon sp. isolate HepOat4 small subunit ribosomal RNA gene, partial sequence	Hepatozoon sp.	747	747	100%	0.0	96.48%	1671	MH174343.1
Hepatozoon en Ornithodoros atacanamensis</text>
  </threadedComment>
  <threadedComment ref="C34" dT="2021-02-15T14:14:03.02" personId="{84B30109-86C6-4700-9BBF-CA19471A7D76}" id="{159C7AEA-9BED-4704-BDF8-7816E8C1617A}">
    <text>Select seq MH174343.1	Hepatozoon sp. isolate HepOat4 small subunit ribosomal RNA gene, partial sequence	Hepatozoon sp.	773	773	100%	0.0	97.56%	1671	MH174343.1
Hepatozoon en Ornithodoros atacamensis</text>
  </threadedComment>
  <threadedComment ref="C35" dT="2021-02-15T14:12:35.98" personId="{84B30109-86C6-4700-9BBF-CA19471A7D76}" id="{8CF16137-8654-4584-99E7-D2B2FFF231F7}">
    <text>Select seq MH174343.1	Hepatozoon sp. isolate HepOat4 small subunit ribosomal RNA gene, partial sequence	Hepatozoon sp.	773	773	100%	0.0	97.56%	1671	MH174343.1
Hepatozoon Ornithodoros atacamensis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X35"/>
  <sheetViews>
    <sheetView tabSelected="1" zoomScaleNormal="100" workbookViewId="0">
      <pane xSplit="11" ySplit="2" topLeftCell="L3" activePane="bottomRight" state="frozen"/>
      <selection pane="topRight" activeCell="K1" sqref="K1"/>
      <selection pane="bottomLeft" activeCell="A6" sqref="A6"/>
      <selection pane="bottomRight" activeCell="N11" sqref="N11"/>
    </sheetView>
  </sheetViews>
  <sheetFormatPr baseColWidth="10" defaultColWidth="8.88671875" defaultRowHeight="14.4" x14ac:dyDescent="0.3"/>
  <cols>
    <col min="1" max="1" width="16.6640625" style="4" bestFit="1" customWidth="1"/>
    <col min="2" max="2" width="16.6640625" style="4" customWidth="1"/>
    <col min="3" max="3" width="21.88671875" style="4" customWidth="1"/>
    <col min="4" max="4" width="24.77734375" style="4" customWidth="1"/>
    <col min="5" max="5" width="5" style="4" customWidth="1"/>
    <col min="6" max="6" width="8.88671875" style="4" hidden="1" customWidth="1"/>
    <col min="7" max="7" width="9" style="4" hidden="1" customWidth="1"/>
    <col min="8" max="8" width="11.6640625" style="4" hidden="1" customWidth="1"/>
    <col min="9" max="9" width="11.88671875" style="4" hidden="1" customWidth="1"/>
    <col min="10" max="10" width="8.88671875" style="4" hidden="1" customWidth="1"/>
    <col min="11" max="11" width="17" style="4" hidden="1" customWidth="1"/>
    <col min="12" max="219" width="8.88671875" style="4"/>
    <col min="220" max="220" width="14" style="4" bestFit="1" customWidth="1"/>
    <col min="221" max="240" width="8.88671875" style="4"/>
    <col min="241" max="241" width="19.21875" style="4" bestFit="1" customWidth="1"/>
    <col min="242" max="16384" width="8.88671875" style="4"/>
  </cols>
  <sheetData>
    <row r="1" spans="1:258" x14ac:dyDescent="0.3">
      <c r="K1" s="5"/>
      <c r="L1" s="4" t="s">
        <v>265</v>
      </c>
      <c r="M1" s="4" t="s">
        <v>265</v>
      </c>
      <c r="N1" s="4" t="s">
        <v>265</v>
      </c>
      <c r="O1" s="4" t="s">
        <v>265</v>
      </c>
      <c r="P1" s="4" t="s">
        <v>265</v>
      </c>
      <c r="Q1" s="4" t="s">
        <v>265</v>
      </c>
      <c r="R1" s="4" t="s">
        <v>265</v>
      </c>
      <c r="S1" s="4" t="s">
        <v>265</v>
      </c>
      <c r="T1" s="4" t="s">
        <v>265</v>
      </c>
      <c r="U1" s="4" t="s">
        <v>266</v>
      </c>
      <c r="V1" s="4" t="s">
        <v>266</v>
      </c>
      <c r="W1" s="4" t="s">
        <v>266</v>
      </c>
      <c r="X1" s="4" t="s">
        <v>266</v>
      </c>
      <c r="Y1" s="4" t="s">
        <v>266</v>
      </c>
      <c r="Z1" s="4" t="s">
        <v>266</v>
      </c>
      <c r="AA1" s="4" t="s">
        <v>266</v>
      </c>
      <c r="AB1" s="4" t="s">
        <v>266</v>
      </c>
      <c r="AC1" s="4" t="s">
        <v>266</v>
      </c>
      <c r="AD1" s="4" t="s">
        <v>266</v>
      </c>
      <c r="AE1" s="4" t="s">
        <v>267</v>
      </c>
      <c r="AF1" s="4" t="s">
        <v>267</v>
      </c>
      <c r="AG1" s="4" t="s">
        <v>267</v>
      </c>
      <c r="AH1" s="4" t="s">
        <v>267</v>
      </c>
      <c r="AI1" s="4" t="s">
        <v>267</v>
      </c>
      <c r="AJ1" s="4" t="s">
        <v>267</v>
      </c>
      <c r="AK1" s="4" t="s">
        <v>267</v>
      </c>
      <c r="AL1" s="4" t="s">
        <v>267</v>
      </c>
      <c r="AM1" s="4" t="s">
        <v>267</v>
      </c>
      <c r="AN1" s="4" t="s">
        <v>267</v>
      </c>
      <c r="AO1" s="4" t="s">
        <v>268</v>
      </c>
      <c r="AP1" s="4" t="s">
        <v>268</v>
      </c>
      <c r="AQ1" s="4" t="s">
        <v>268</v>
      </c>
      <c r="AR1" s="4" t="s">
        <v>268</v>
      </c>
      <c r="AS1" s="4" t="s">
        <v>268</v>
      </c>
      <c r="AT1" s="4" t="s">
        <v>268</v>
      </c>
      <c r="AU1" s="4" t="s">
        <v>268</v>
      </c>
      <c r="AV1" s="4" t="s">
        <v>268</v>
      </c>
      <c r="AW1" s="4" t="s">
        <v>268</v>
      </c>
      <c r="AX1" s="4" t="s">
        <v>268</v>
      </c>
      <c r="AY1" s="4" t="s">
        <v>269</v>
      </c>
      <c r="AZ1" s="4" t="s">
        <v>269</v>
      </c>
      <c r="BA1" s="4" t="s">
        <v>269</v>
      </c>
      <c r="BB1" s="4" t="s">
        <v>269</v>
      </c>
      <c r="BC1" s="4" t="s">
        <v>269</v>
      </c>
      <c r="BD1" s="4" t="s">
        <v>269</v>
      </c>
      <c r="BE1" s="4" t="s">
        <v>269</v>
      </c>
      <c r="BF1" s="4" t="s">
        <v>269</v>
      </c>
      <c r="BG1" s="4" t="s">
        <v>269</v>
      </c>
      <c r="BH1" s="4" t="s">
        <v>269</v>
      </c>
      <c r="BI1" s="4" t="s">
        <v>270</v>
      </c>
      <c r="BJ1" s="4" t="s">
        <v>270</v>
      </c>
      <c r="BK1" s="4" t="s">
        <v>270</v>
      </c>
      <c r="BL1" s="4" t="s">
        <v>270</v>
      </c>
      <c r="BM1" s="4" t="s">
        <v>270</v>
      </c>
      <c r="BN1" s="4" t="s">
        <v>270</v>
      </c>
      <c r="BO1" s="4" t="s">
        <v>270</v>
      </c>
      <c r="BP1" s="4" t="s">
        <v>270</v>
      </c>
      <c r="BQ1" s="4" t="s">
        <v>270</v>
      </c>
      <c r="BR1" s="4" t="s">
        <v>270</v>
      </c>
      <c r="BS1" s="4" t="s">
        <v>271</v>
      </c>
      <c r="BT1" s="4" t="s">
        <v>271</v>
      </c>
      <c r="BU1" s="4" t="s">
        <v>271</v>
      </c>
      <c r="BV1" s="4" t="s">
        <v>271</v>
      </c>
      <c r="BW1" s="4" t="s">
        <v>271</v>
      </c>
      <c r="BX1" s="4" t="s">
        <v>271</v>
      </c>
      <c r="BY1" s="4" t="s">
        <v>271</v>
      </c>
      <c r="BZ1" s="4" t="s">
        <v>271</v>
      </c>
      <c r="CA1" s="4" t="s">
        <v>271</v>
      </c>
      <c r="CB1" s="4" t="s">
        <v>271</v>
      </c>
      <c r="CC1" s="4" t="s">
        <v>272</v>
      </c>
      <c r="CD1" s="4" t="s">
        <v>272</v>
      </c>
      <c r="CE1" s="4" t="s">
        <v>272</v>
      </c>
      <c r="CF1" s="4" t="s">
        <v>272</v>
      </c>
      <c r="CG1" s="4" t="s">
        <v>272</v>
      </c>
      <c r="CH1" s="4" t="s">
        <v>272</v>
      </c>
      <c r="CI1" s="4" t="s">
        <v>272</v>
      </c>
      <c r="CJ1" s="4" t="s">
        <v>272</v>
      </c>
      <c r="CK1" s="4" t="s">
        <v>272</v>
      </c>
      <c r="CL1" s="4" t="s">
        <v>272</v>
      </c>
      <c r="CM1" s="4" t="s">
        <v>273</v>
      </c>
      <c r="CN1" s="4" t="s">
        <v>273</v>
      </c>
      <c r="CO1" s="4" t="s">
        <v>273</v>
      </c>
      <c r="CP1" s="4" t="s">
        <v>273</v>
      </c>
      <c r="CQ1" s="4" t="s">
        <v>273</v>
      </c>
      <c r="CR1" s="4" t="s">
        <v>273</v>
      </c>
      <c r="CS1" s="4" t="s">
        <v>273</v>
      </c>
      <c r="CT1" s="4" t="s">
        <v>273</v>
      </c>
      <c r="CU1" s="4" t="s">
        <v>273</v>
      </c>
      <c r="CV1" s="4" t="s">
        <v>273</v>
      </c>
      <c r="CW1" s="4" t="s">
        <v>274</v>
      </c>
      <c r="CX1" s="4" t="s">
        <v>274</v>
      </c>
      <c r="CY1" s="4" t="s">
        <v>274</v>
      </c>
      <c r="CZ1" s="4" t="s">
        <v>274</v>
      </c>
      <c r="DA1" s="4" t="s">
        <v>274</v>
      </c>
      <c r="DB1" s="4" t="s">
        <v>274</v>
      </c>
      <c r="DC1" s="4" t="s">
        <v>274</v>
      </c>
      <c r="DD1" s="4" t="s">
        <v>274</v>
      </c>
      <c r="DE1" s="4" t="s">
        <v>274</v>
      </c>
      <c r="DF1" s="4" t="s">
        <v>274</v>
      </c>
      <c r="DG1" s="4" t="s">
        <v>275</v>
      </c>
      <c r="DH1" s="4" t="s">
        <v>275</v>
      </c>
      <c r="DI1" s="4" t="s">
        <v>275</v>
      </c>
      <c r="DJ1" s="4" t="s">
        <v>275</v>
      </c>
      <c r="DK1" s="4" t="s">
        <v>275</v>
      </c>
      <c r="DL1" s="4" t="s">
        <v>275</v>
      </c>
      <c r="DM1" s="4" t="s">
        <v>275</v>
      </c>
      <c r="DN1" s="4" t="s">
        <v>275</v>
      </c>
      <c r="DO1" s="4" t="s">
        <v>275</v>
      </c>
      <c r="DP1" s="4" t="s">
        <v>275</v>
      </c>
      <c r="DQ1" s="4" t="s">
        <v>276</v>
      </c>
      <c r="DR1" s="4" t="s">
        <v>276</v>
      </c>
      <c r="DS1" s="4" t="s">
        <v>277</v>
      </c>
      <c r="DT1" s="4" t="s">
        <v>277</v>
      </c>
      <c r="DU1" s="4" t="s">
        <v>277</v>
      </c>
      <c r="DV1" s="4" t="s">
        <v>277</v>
      </c>
      <c r="DW1" s="4" t="s">
        <v>277</v>
      </c>
      <c r="DX1" s="4" t="s">
        <v>277</v>
      </c>
      <c r="DY1" s="4" t="s">
        <v>277</v>
      </c>
      <c r="DZ1" s="4" t="s">
        <v>277</v>
      </c>
      <c r="EA1" s="4" t="s">
        <v>277</v>
      </c>
      <c r="EB1" s="4" t="s">
        <v>277</v>
      </c>
      <c r="EC1" s="4" t="s">
        <v>278</v>
      </c>
      <c r="ED1" s="4" t="s">
        <v>278</v>
      </c>
      <c r="EE1" s="4" t="s">
        <v>278</v>
      </c>
      <c r="EF1" s="4" t="s">
        <v>278</v>
      </c>
      <c r="EG1" s="4" t="s">
        <v>278</v>
      </c>
      <c r="EH1" s="4" t="s">
        <v>278</v>
      </c>
      <c r="EI1" s="4" t="s">
        <v>278</v>
      </c>
      <c r="EJ1" s="4" t="s">
        <v>278</v>
      </c>
      <c r="EK1" s="4" t="s">
        <v>278</v>
      </c>
      <c r="EL1" s="4" t="s">
        <v>278</v>
      </c>
      <c r="EM1" s="4" t="s">
        <v>279</v>
      </c>
      <c r="EN1" s="4" t="s">
        <v>279</v>
      </c>
      <c r="EO1" s="4" t="s">
        <v>279</v>
      </c>
      <c r="EP1" s="4" t="s">
        <v>279</v>
      </c>
      <c r="EQ1" s="4" t="s">
        <v>279</v>
      </c>
      <c r="ER1" s="4" t="s">
        <v>279</v>
      </c>
      <c r="ES1" s="4" t="s">
        <v>279</v>
      </c>
      <c r="ET1" s="4" t="s">
        <v>279</v>
      </c>
      <c r="EU1" s="4" t="s">
        <v>279</v>
      </c>
      <c r="EV1" s="4" t="s">
        <v>280</v>
      </c>
      <c r="EW1" s="4" t="s">
        <v>280</v>
      </c>
      <c r="EX1" s="4" t="s">
        <v>280</v>
      </c>
      <c r="EY1" s="4" t="s">
        <v>280</v>
      </c>
      <c r="EZ1" s="4" t="s">
        <v>280</v>
      </c>
      <c r="FA1" s="4" t="s">
        <v>280</v>
      </c>
      <c r="FB1" s="4" t="s">
        <v>280</v>
      </c>
      <c r="FC1" s="4" t="s">
        <v>280</v>
      </c>
      <c r="FD1" s="4" t="s">
        <v>280</v>
      </c>
      <c r="FE1" s="4" t="s">
        <v>280</v>
      </c>
      <c r="FF1" s="4" t="s">
        <v>281</v>
      </c>
      <c r="FG1" s="4" t="s">
        <v>281</v>
      </c>
      <c r="FH1" s="4" t="s">
        <v>281</v>
      </c>
      <c r="FI1" s="4" t="s">
        <v>281</v>
      </c>
      <c r="FJ1" s="4" t="s">
        <v>281</v>
      </c>
      <c r="FK1" s="4" t="s">
        <v>281</v>
      </c>
      <c r="FL1" s="4" t="s">
        <v>281</v>
      </c>
      <c r="FM1" s="4" t="s">
        <v>281</v>
      </c>
      <c r="FN1" s="4" t="s">
        <v>281</v>
      </c>
      <c r="FO1" s="4" t="s">
        <v>281</v>
      </c>
      <c r="FP1" s="4" t="s">
        <v>282</v>
      </c>
      <c r="FQ1" s="4" t="s">
        <v>282</v>
      </c>
      <c r="FR1" s="4" t="s">
        <v>282</v>
      </c>
      <c r="FS1" s="4" t="s">
        <v>282</v>
      </c>
      <c r="FT1" s="4" t="s">
        <v>282</v>
      </c>
      <c r="FU1" s="4" t="s">
        <v>282</v>
      </c>
      <c r="FV1" s="4" t="s">
        <v>282</v>
      </c>
      <c r="FW1" s="4" t="s">
        <v>282</v>
      </c>
      <c r="FX1" s="4" t="s">
        <v>282</v>
      </c>
      <c r="FY1" s="4" t="s">
        <v>283</v>
      </c>
      <c r="FZ1" s="4" t="s">
        <v>283</v>
      </c>
      <c r="GA1" s="4" t="s">
        <v>283</v>
      </c>
      <c r="GB1" s="4" t="s">
        <v>283</v>
      </c>
      <c r="GC1" s="4" t="s">
        <v>283</v>
      </c>
      <c r="GD1" s="4" t="s">
        <v>283</v>
      </c>
      <c r="GE1" s="4" t="s">
        <v>283</v>
      </c>
      <c r="GF1" s="4" t="s">
        <v>283</v>
      </c>
      <c r="GG1" s="4" t="s">
        <v>284</v>
      </c>
      <c r="GH1" s="4" t="s">
        <v>284</v>
      </c>
      <c r="GI1" s="4" t="s">
        <v>284</v>
      </c>
      <c r="GJ1" s="4" t="s">
        <v>284</v>
      </c>
      <c r="GK1" s="4" t="s">
        <v>284</v>
      </c>
      <c r="GL1" s="4" t="s">
        <v>284</v>
      </c>
      <c r="GM1" s="4" t="s">
        <v>284</v>
      </c>
      <c r="GN1" s="4" t="s">
        <v>284</v>
      </c>
      <c r="GO1" s="4" t="s">
        <v>284</v>
      </c>
      <c r="GP1" s="4" t="s">
        <v>284</v>
      </c>
      <c r="GQ1" s="4" t="s">
        <v>285</v>
      </c>
      <c r="GR1" s="4" t="s">
        <v>285</v>
      </c>
      <c r="GS1" s="4" t="s">
        <v>285</v>
      </c>
      <c r="GT1" s="4" t="s">
        <v>285</v>
      </c>
      <c r="GU1" s="4" t="s">
        <v>285</v>
      </c>
      <c r="GV1" s="4" t="s">
        <v>285</v>
      </c>
      <c r="GW1" s="4" t="s">
        <v>285</v>
      </c>
      <c r="GX1" s="4" t="s">
        <v>285</v>
      </c>
      <c r="GY1" s="4" t="s">
        <v>285</v>
      </c>
      <c r="GZ1" s="4" t="s">
        <v>285</v>
      </c>
      <c r="HA1" s="4" t="s">
        <v>286</v>
      </c>
      <c r="HB1" s="4" t="s">
        <v>286</v>
      </c>
      <c r="HC1" s="4" t="s">
        <v>286</v>
      </c>
      <c r="HD1" s="4" t="s">
        <v>286</v>
      </c>
      <c r="HE1" s="4" t="s">
        <v>286</v>
      </c>
      <c r="HF1" s="4" t="s">
        <v>286</v>
      </c>
      <c r="HG1" s="4" t="s">
        <v>286</v>
      </c>
      <c r="HH1" s="4" t="s">
        <v>286</v>
      </c>
      <c r="HI1" s="4" t="s">
        <v>286</v>
      </c>
      <c r="HJ1" s="4" t="s">
        <v>286</v>
      </c>
      <c r="HK1" s="4" t="s">
        <v>287</v>
      </c>
      <c r="HL1" s="4" t="s">
        <v>287</v>
      </c>
      <c r="HM1" s="4" t="s">
        <v>287</v>
      </c>
      <c r="HN1" s="4" t="s">
        <v>287</v>
      </c>
      <c r="HO1" s="4" t="s">
        <v>288</v>
      </c>
      <c r="HP1" s="4" t="s">
        <v>288</v>
      </c>
      <c r="HQ1" s="4" t="s">
        <v>288</v>
      </c>
      <c r="HR1" s="4" t="s">
        <v>288</v>
      </c>
      <c r="HS1" s="4" t="s">
        <v>288</v>
      </c>
      <c r="HT1" s="4" t="s">
        <v>288</v>
      </c>
      <c r="HU1" s="4" t="s">
        <v>288</v>
      </c>
      <c r="HV1" s="4" t="s">
        <v>288</v>
      </c>
      <c r="HW1" s="4" t="s">
        <v>288</v>
      </c>
      <c r="HX1" s="4" t="s">
        <v>288</v>
      </c>
      <c r="HY1" s="4" t="s">
        <v>289</v>
      </c>
      <c r="HZ1" s="4" t="s">
        <v>289</v>
      </c>
      <c r="IA1" s="4" t="s">
        <v>289</v>
      </c>
      <c r="IB1" s="4" t="s">
        <v>289</v>
      </c>
      <c r="IC1" s="4" t="s">
        <v>289</v>
      </c>
      <c r="ID1" s="4" t="s">
        <v>289</v>
      </c>
      <c r="IE1" s="4" t="s">
        <v>289</v>
      </c>
      <c r="IF1" s="4" t="s">
        <v>289</v>
      </c>
      <c r="IG1" s="4" t="s">
        <v>289</v>
      </c>
      <c r="IH1" s="4" t="s">
        <v>289</v>
      </c>
      <c r="II1" s="4" t="s">
        <v>282</v>
      </c>
      <c r="IJ1" s="4" t="s">
        <v>278</v>
      </c>
      <c r="IK1" s="4" t="s">
        <v>280</v>
      </c>
      <c r="IL1" s="4" t="s">
        <v>280</v>
      </c>
      <c r="IM1" s="4" t="s">
        <v>288</v>
      </c>
      <c r="IN1" s="4" t="s">
        <v>288</v>
      </c>
      <c r="IO1" s="4" t="s">
        <v>282</v>
      </c>
      <c r="IP1" s="4" t="s">
        <v>282</v>
      </c>
      <c r="IQ1" s="4" t="s">
        <v>286</v>
      </c>
      <c r="IR1" s="4" t="s">
        <v>284</v>
      </c>
      <c r="IS1" s="4" t="s">
        <v>284</v>
      </c>
      <c r="IT1" s="4" t="s">
        <v>289</v>
      </c>
      <c r="IU1" s="4" t="s">
        <v>281</v>
      </c>
      <c r="IV1" s="4" t="s">
        <v>283</v>
      </c>
      <c r="IW1" s="4" t="s">
        <v>283</v>
      </c>
      <c r="IX1" s="4" t="s">
        <v>283</v>
      </c>
    </row>
    <row r="2" spans="1:258" x14ac:dyDescent="0.3">
      <c r="A2" s="6" t="s">
        <v>58</v>
      </c>
      <c r="B2" s="6" t="s">
        <v>326</v>
      </c>
      <c r="C2" s="5" t="s">
        <v>0</v>
      </c>
      <c r="D2" s="5" t="s">
        <v>1</v>
      </c>
      <c r="E2" s="5" t="s">
        <v>2</v>
      </c>
      <c r="F2" s="5" t="s">
        <v>3</v>
      </c>
      <c r="G2" s="5" t="s">
        <v>4</v>
      </c>
      <c r="H2" s="5" t="s">
        <v>5</v>
      </c>
      <c r="I2" s="5" t="s">
        <v>6</v>
      </c>
      <c r="J2" s="5" t="s">
        <v>7</v>
      </c>
      <c r="K2" s="5"/>
      <c r="L2" s="5" t="s">
        <v>59</v>
      </c>
      <c r="M2" s="5" t="s">
        <v>60</v>
      </c>
      <c r="N2" s="5" t="s">
        <v>61</v>
      </c>
      <c r="O2" s="5" t="s">
        <v>62</v>
      </c>
      <c r="P2" s="5" t="s">
        <v>63</v>
      </c>
      <c r="Q2" s="5" t="s">
        <v>64</v>
      </c>
      <c r="R2" s="5" t="s">
        <v>65</v>
      </c>
      <c r="S2" s="5" t="s">
        <v>66</v>
      </c>
      <c r="T2" s="5" t="s">
        <v>67</v>
      </c>
      <c r="U2" s="5" t="s">
        <v>68</v>
      </c>
      <c r="V2" s="5" t="s">
        <v>69</v>
      </c>
      <c r="W2" s="5" t="s">
        <v>70</v>
      </c>
      <c r="X2" s="5" t="s">
        <v>71</v>
      </c>
      <c r="Y2" s="5" t="s">
        <v>72</v>
      </c>
      <c r="Z2" s="5" t="s">
        <v>73</v>
      </c>
      <c r="AA2" s="5" t="s">
        <v>74</v>
      </c>
      <c r="AB2" s="5" t="s">
        <v>75</v>
      </c>
      <c r="AC2" s="5" t="s">
        <v>76</v>
      </c>
      <c r="AD2" s="5" t="s">
        <v>77</v>
      </c>
      <c r="AE2" s="5" t="s">
        <v>78</v>
      </c>
      <c r="AF2" s="5" t="s">
        <v>79</v>
      </c>
      <c r="AG2" s="5" t="s">
        <v>80</v>
      </c>
      <c r="AH2" s="5" t="s">
        <v>81</v>
      </c>
      <c r="AI2" s="5" t="s">
        <v>82</v>
      </c>
      <c r="AJ2" s="5" t="s">
        <v>83</v>
      </c>
      <c r="AK2" s="5" t="s">
        <v>84</v>
      </c>
      <c r="AL2" s="5" t="s">
        <v>85</v>
      </c>
      <c r="AM2" s="5" t="s">
        <v>86</v>
      </c>
      <c r="AN2" s="5" t="s">
        <v>87</v>
      </c>
      <c r="AO2" s="5" t="s">
        <v>88</v>
      </c>
      <c r="AP2" s="5" t="s">
        <v>89</v>
      </c>
      <c r="AQ2" s="5" t="s">
        <v>90</v>
      </c>
      <c r="AR2" s="5" t="s">
        <v>91</v>
      </c>
      <c r="AS2" s="5" t="s">
        <v>92</v>
      </c>
      <c r="AT2" s="5" t="s">
        <v>93</v>
      </c>
      <c r="AU2" s="5" t="s">
        <v>94</v>
      </c>
      <c r="AV2" s="5" t="s">
        <v>95</v>
      </c>
      <c r="AW2" s="5" t="s">
        <v>96</v>
      </c>
      <c r="AX2" s="5" t="s">
        <v>97</v>
      </c>
      <c r="AY2" s="5" t="s">
        <v>98</v>
      </c>
      <c r="AZ2" s="5" t="s">
        <v>99</v>
      </c>
      <c r="BA2" s="5" t="s">
        <v>100</v>
      </c>
      <c r="BB2" s="5" t="s">
        <v>101</v>
      </c>
      <c r="BC2" s="5" t="s">
        <v>102</v>
      </c>
      <c r="BD2" s="5" t="s">
        <v>103</v>
      </c>
      <c r="BE2" s="5" t="s">
        <v>104</v>
      </c>
      <c r="BF2" s="5" t="s">
        <v>105</v>
      </c>
      <c r="BG2" s="5" t="s">
        <v>106</v>
      </c>
      <c r="BH2" s="5" t="s">
        <v>107</v>
      </c>
      <c r="BI2" s="5" t="s">
        <v>108</v>
      </c>
      <c r="BJ2" s="5" t="s">
        <v>109</v>
      </c>
      <c r="BK2" s="5" t="s">
        <v>110</v>
      </c>
      <c r="BL2" s="5" t="s">
        <v>111</v>
      </c>
      <c r="BM2" s="5" t="s">
        <v>112</v>
      </c>
      <c r="BN2" s="5" t="s">
        <v>113</v>
      </c>
      <c r="BO2" s="5" t="s">
        <v>114</v>
      </c>
      <c r="BP2" s="5" t="s">
        <v>115</v>
      </c>
      <c r="BQ2" s="5" t="s">
        <v>116</v>
      </c>
      <c r="BR2" s="5" t="s">
        <v>117</v>
      </c>
      <c r="BS2" s="5" t="s">
        <v>118</v>
      </c>
      <c r="BT2" s="5" t="s">
        <v>119</v>
      </c>
      <c r="BU2" s="5" t="s">
        <v>120</v>
      </c>
      <c r="BV2" s="5" t="s">
        <v>121</v>
      </c>
      <c r="BW2" s="5" t="s">
        <v>122</v>
      </c>
      <c r="BX2" s="5" t="s">
        <v>123</v>
      </c>
      <c r="BY2" s="5" t="s">
        <v>124</v>
      </c>
      <c r="BZ2" s="5" t="s">
        <v>125</v>
      </c>
      <c r="CA2" s="5" t="s">
        <v>126</v>
      </c>
      <c r="CB2" s="5" t="s">
        <v>127</v>
      </c>
      <c r="CC2" s="5" t="s">
        <v>128</v>
      </c>
      <c r="CD2" s="5" t="s">
        <v>129</v>
      </c>
      <c r="CE2" s="5" t="s">
        <v>130</v>
      </c>
      <c r="CF2" s="5" t="s">
        <v>131</v>
      </c>
      <c r="CG2" s="5" t="s">
        <v>132</v>
      </c>
      <c r="CH2" s="5" t="s">
        <v>133</v>
      </c>
      <c r="CI2" s="5" t="s">
        <v>134</v>
      </c>
      <c r="CJ2" s="5" t="s">
        <v>135</v>
      </c>
      <c r="CK2" s="5" t="s">
        <v>136</v>
      </c>
      <c r="CL2" s="5" t="s">
        <v>137</v>
      </c>
      <c r="CM2" s="5" t="s">
        <v>138</v>
      </c>
      <c r="CN2" s="5" t="s">
        <v>139</v>
      </c>
      <c r="CO2" s="5" t="s">
        <v>140</v>
      </c>
      <c r="CP2" s="5" t="s">
        <v>141</v>
      </c>
      <c r="CQ2" s="5" t="s">
        <v>142</v>
      </c>
      <c r="CR2" s="5" t="s">
        <v>143</v>
      </c>
      <c r="CS2" s="5" t="s">
        <v>144</v>
      </c>
      <c r="CT2" s="5" t="s">
        <v>145</v>
      </c>
      <c r="CU2" s="5" t="s">
        <v>146</v>
      </c>
      <c r="CV2" s="5" t="s">
        <v>147</v>
      </c>
      <c r="CW2" s="5" t="s">
        <v>148</v>
      </c>
      <c r="CX2" s="5" t="s">
        <v>149</v>
      </c>
      <c r="CY2" s="5" t="s">
        <v>150</v>
      </c>
      <c r="CZ2" s="5" t="s">
        <v>151</v>
      </c>
      <c r="DA2" s="5" t="s">
        <v>152</v>
      </c>
      <c r="DB2" s="5" t="s">
        <v>153</v>
      </c>
      <c r="DC2" s="5" t="s">
        <v>154</v>
      </c>
      <c r="DD2" s="5" t="s">
        <v>155</v>
      </c>
      <c r="DE2" s="5" t="s">
        <v>156</v>
      </c>
      <c r="DF2" s="5" t="s">
        <v>157</v>
      </c>
      <c r="DG2" s="5" t="s">
        <v>158</v>
      </c>
      <c r="DH2" s="5" t="s">
        <v>159</v>
      </c>
      <c r="DI2" s="5" t="s">
        <v>160</v>
      </c>
      <c r="DJ2" s="5" t="s">
        <v>161</v>
      </c>
      <c r="DK2" s="5" t="s">
        <v>162</v>
      </c>
      <c r="DL2" s="5" t="s">
        <v>163</v>
      </c>
      <c r="DM2" s="5" t="s">
        <v>164</v>
      </c>
      <c r="DN2" s="5" t="s">
        <v>165</v>
      </c>
      <c r="DO2" s="5" t="s">
        <v>166</v>
      </c>
      <c r="DP2" s="5" t="s">
        <v>167</v>
      </c>
      <c r="DQ2" s="5">
        <v>323</v>
      </c>
      <c r="DR2" s="5">
        <v>324</v>
      </c>
      <c r="DS2" s="5">
        <v>335</v>
      </c>
      <c r="DT2" s="5">
        <v>336</v>
      </c>
      <c r="DU2" s="5">
        <v>337</v>
      </c>
      <c r="DV2" s="5">
        <v>338</v>
      </c>
      <c r="DW2" s="5">
        <v>339</v>
      </c>
      <c r="DX2" s="5">
        <v>340</v>
      </c>
      <c r="DY2" s="5">
        <v>341</v>
      </c>
      <c r="DZ2" s="5">
        <v>342</v>
      </c>
      <c r="EA2" s="5">
        <v>343</v>
      </c>
      <c r="EB2" s="5">
        <v>344</v>
      </c>
      <c r="EC2" s="5">
        <v>345</v>
      </c>
      <c r="ED2" s="5">
        <v>346</v>
      </c>
      <c r="EE2" s="5">
        <v>347</v>
      </c>
      <c r="EF2" s="5">
        <v>348</v>
      </c>
      <c r="EG2" s="5">
        <v>349</v>
      </c>
      <c r="EH2" s="5">
        <v>350</v>
      </c>
      <c r="EI2" s="5">
        <v>351</v>
      </c>
      <c r="EJ2" s="5">
        <v>352</v>
      </c>
      <c r="EK2" s="5">
        <v>353</v>
      </c>
      <c r="EL2" s="5">
        <v>354</v>
      </c>
      <c r="EM2" s="5">
        <v>356</v>
      </c>
      <c r="EN2" s="5">
        <v>357</v>
      </c>
      <c r="EO2" s="5">
        <v>358</v>
      </c>
      <c r="EP2" s="5">
        <v>359</v>
      </c>
      <c r="EQ2" s="5">
        <v>360</v>
      </c>
      <c r="ER2" s="5">
        <v>361</v>
      </c>
      <c r="ES2" s="5">
        <v>362</v>
      </c>
      <c r="ET2" s="5">
        <v>363</v>
      </c>
      <c r="EU2" s="5">
        <v>364</v>
      </c>
      <c r="EV2" s="5">
        <v>365</v>
      </c>
      <c r="EW2" s="5">
        <v>366</v>
      </c>
      <c r="EX2" s="5">
        <v>367</v>
      </c>
      <c r="EY2" s="5">
        <v>368</v>
      </c>
      <c r="EZ2" s="5">
        <v>369</v>
      </c>
      <c r="FA2" s="5">
        <v>370</v>
      </c>
      <c r="FB2" s="5">
        <v>371</v>
      </c>
      <c r="FC2" s="5">
        <v>372</v>
      </c>
      <c r="FD2" s="5">
        <v>373</v>
      </c>
      <c r="FE2" s="5">
        <v>374</v>
      </c>
      <c r="FF2" s="5">
        <v>375</v>
      </c>
      <c r="FG2" s="5">
        <v>376</v>
      </c>
      <c r="FH2" s="5">
        <v>377</v>
      </c>
      <c r="FI2" s="5">
        <v>378</v>
      </c>
      <c r="FJ2" s="5">
        <v>379</v>
      </c>
      <c r="FK2" s="5">
        <v>380</v>
      </c>
      <c r="FL2" s="5">
        <v>381</v>
      </c>
      <c r="FM2" s="5">
        <v>382</v>
      </c>
      <c r="FN2" s="5">
        <v>383</v>
      </c>
      <c r="FO2" s="5">
        <v>384</v>
      </c>
      <c r="FP2" s="5">
        <v>385</v>
      </c>
      <c r="FQ2" s="5">
        <v>386</v>
      </c>
      <c r="FR2" s="5">
        <v>387</v>
      </c>
      <c r="FS2" s="5">
        <v>388</v>
      </c>
      <c r="FT2" s="5">
        <v>389</v>
      </c>
      <c r="FU2" s="5">
        <v>390</v>
      </c>
      <c r="FV2" s="5">
        <v>391</v>
      </c>
      <c r="FW2" s="5">
        <v>392</v>
      </c>
      <c r="FX2" s="5">
        <v>393</v>
      </c>
      <c r="FY2" s="5">
        <v>394</v>
      </c>
      <c r="FZ2" s="5">
        <v>395</v>
      </c>
      <c r="GA2" s="5">
        <v>396</v>
      </c>
      <c r="GB2" s="5">
        <v>397</v>
      </c>
      <c r="GC2" s="5">
        <v>398</v>
      </c>
      <c r="GD2" s="5">
        <v>399</v>
      </c>
      <c r="GE2" s="5">
        <v>400</v>
      </c>
      <c r="GF2" s="5">
        <v>402</v>
      </c>
      <c r="GG2" s="5">
        <v>404</v>
      </c>
      <c r="GH2" s="5">
        <v>405</v>
      </c>
      <c r="GI2" s="5">
        <v>406</v>
      </c>
      <c r="GJ2" s="5">
        <v>407</v>
      </c>
      <c r="GK2" s="5">
        <v>408</v>
      </c>
      <c r="GL2" s="5">
        <v>409</v>
      </c>
      <c r="GM2" s="5">
        <v>410</v>
      </c>
      <c r="GN2" s="5">
        <v>411</v>
      </c>
      <c r="GO2" s="5">
        <v>412</v>
      </c>
      <c r="GP2" s="5">
        <v>413</v>
      </c>
      <c r="GQ2" s="5">
        <v>414</v>
      </c>
      <c r="GR2" s="5">
        <v>415</v>
      </c>
      <c r="GS2" s="5">
        <v>416</v>
      </c>
      <c r="GT2" s="5">
        <v>417</v>
      </c>
      <c r="GU2" s="5">
        <v>418</v>
      </c>
      <c r="GV2" s="5">
        <v>419</v>
      </c>
      <c r="GW2" s="5">
        <v>420</v>
      </c>
      <c r="GX2" s="5">
        <v>421</v>
      </c>
      <c r="GY2" s="5">
        <v>422</v>
      </c>
      <c r="GZ2" s="5">
        <v>423</v>
      </c>
      <c r="HA2" s="5">
        <v>424</v>
      </c>
      <c r="HB2" s="5">
        <v>425</v>
      </c>
      <c r="HC2" s="5">
        <v>426</v>
      </c>
      <c r="HD2" s="5">
        <v>427</v>
      </c>
      <c r="HE2" s="5">
        <v>428</v>
      </c>
      <c r="HF2" s="5">
        <v>429</v>
      </c>
      <c r="HG2" s="5">
        <v>430</v>
      </c>
      <c r="HH2" s="5">
        <v>431</v>
      </c>
      <c r="HI2" s="5">
        <v>432</v>
      </c>
      <c r="HJ2" s="5">
        <v>433</v>
      </c>
      <c r="HK2" s="5">
        <v>434</v>
      </c>
      <c r="HL2" s="5">
        <v>435</v>
      </c>
      <c r="HM2" s="5">
        <v>436</v>
      </c>
      <c r="HN2" s="5">
        <v>437</v>
      </c>
      <c r="HO2" s="5">
        <v>438</v>
      </c>
      <c r="HP2" s="5">
        <v>439</v>
      </c>
      <c r="HQ2" s="5">
        <v>440</v>
      </c>
      <c r="HR2" s="5">
        <v>441</v>
      </c>
      <c r="HS2" s="5">
        <v>442</v>
      </c>
      <c r="HT2" s="5">
        <v>443</v>
      </c>
      <c r="HU2" s="5">
        <v>444</v>
      </c>
      <c r="HV2" s="5">
        <v>445</v>
      </c>
      <c r="HW2" s="5">
        <v>446</v>
      </c>
      <c r="HX2" s="5">
        <v>447</v>
      </c>
      <c r="HY2" s="5">
        <v>448</v>
      </c>
      <c r="HZ2" s="5">
        <v>449</v>
      </c>
      <c r="IA2" s="5">
        <v>450</v>
      </c>
      <c r="IB2" s="5">
        <v>451</v>
      </c>
      <c r="IC2" s="5">
        <v>452</v>
      </c>
      <c r="ID2" s="5">
        <v>453</v>
      </c>
      <c r="IE2" s="5">
        <v>454</v>
      </c>
      <c r="IF2" s="5">
        <v>455</v>
      </c>
      <c r="IG2" s="5">
        <v>456</v>
      </c>
      <c r="IH2" s="5">
        <v>457</v>
      </c>
      <c r="II2" s="5" t="s">
        <v>8</v>
      </c>
      <c r="IJ2" s="5" t="s">
        <v>9</v>
      </c>
      <c r="IK2" s="5" t="s">
        <v>10</v>
      </c>
      <c r="IL2" s="5" t="s">
        <v>11</v>
      </c>
      <c r="IM2" s="5" t="s">
        <v>12</v>
      </c>
      <c r="IN2" s="5" t="s">
        <v>13</v>
      </c>
      <c r="IO2" s="5" t="s">
        <v>14</v>
      </c>
      <c r="IP2" s="5" t="s">
        <v>15</v>
      </c>
      <c r="IQ2" s="5" t="s">
        <v>16</v>
      </c>
      <c r="IR2" s="5" t="s">
        <v>17</v>
      </c>
      <c r="IS2" s="5" t="s">
        <v>18</v>
      </c>
      <c r="IT2" s="5" t="s">
        <v>19</v>
      </c>
      <c r="IU2" s="5" t="s">
        <v>20</v>
      </c>
      <c r="IV2" s="5" t="s">
        <v>21</v>
      </c>
      <c r="IW2" s="5" t="s">
        <v>22</v>
      </c>
      <c r="IX2" s="5" t="s">
        <v>23</v>
      </c>
    </row>
    <row r="3" spans="1:258" x14ac:dyDescent="0.3">
      <c r="A3" s="7" t="s">
        <v>260</v>
      </c>
      <c r="B3" s="4" t="s">
        <v>306</v>
      </c>
      <c r="C3" s="4" t="s">
        <v>215</v>
      </c>
      <c r="D3" s="4" t="s">
        <v>216</v>
      </c>
      <c r="E3" s="4">
        <v>451</v>
      </c>
      <c r="F3" s="4">
        <f>SUM(L3:DP3)</f>
        <v>186</v>
      </c>
      <c r="G3" s="4">
        <f>COUNT(L3:DP3)</f>
        <v>1</v>
      </c>
      <c r="H3" s="4">
        <v>5.1100000000000003</v>
      </c>
      <c r="I3" s="4">
        <v>5.1100000000000003</v>
      </c>
      <c r="J3" s="4">
        <v>5.1100000000000003</v>
      </c>
      <c r="K3" s="5" t="s">
        <v>217</v>
      </c>
      <c r="DK3" s="4">
        <f>58+128</f>
        <v>186</v>
      </c>
      <c r="HA3" s="4">
        <f>85+12</f>
        <v>97</v>
      </c>
    </row>
    <row r="4" spans="1:258" x14ac:dyDescent="0.3">
      <c r="A4" s="8" t="s">
        <v>197</v>
      </c>
      <c r="B4" s="4" t="s">
        <v>304</v>
      </c>
      <c r="C4" s="4" t="s">
        <v>198</v>
      </c>
      <c r="D4" s="4" t="s">
        <v>199</v>
      </c>
      <c r="E4" s="4">
        <v>451</v>
      </c>
      <c r="F4" s="4">
        <f>SUM(L4:DP4)</f>
        <v>767</v>
      </c>
      <c r="G4" s="4">
        <f>COUNT(L4:DP4)</f>
        <v>2</v>
      </c>
      <c r="H4" s="4">
        <v>9.42</v>
      </c>
      <c r="I4" s="4">
        <v>13.21</v>
      </c>
      <c r="J4" s="4">
        <v>5.63</v>
      </c>
      <c r="K4" s="5" t="s">
        <v>200</v>
      </c>
      <c r="X4" s="4">
        <f>69+184</f>
        <v>253</v>
      </c>
      <c r="Z4" s="4">
        <f>118+396</f>
        <v>514</v>
      </c>
    </row>
    <row r="5" spans="1:258" ht="13.8" customHeight="1" x14ac:dyDescent="0.3">
      <c r="A5" s="9" t="s">
        <v>246</v>
      </c>
      <c r="B5" s="4" t="s">
        <v>305</v>
      </c>
      <c r="C5" s="4" t="s">
        <v>33</v>
      </c>
      <c r="D5" s="4" t="s">
        <v>34</v>
      </c>
      <c r="E5" s="4">
        <v>451</v>
      </c>
      <c r="F5" s="4">
        <f>SUM(L5:DP5)</f>
        <v>0</v>
      </c>
      <c r="G5" s="4">
        <f>COUNT(L5:DP5)</f>
        <v>0</v>
      </c>
      <c r="H5" s="4">
        <v>19.27</v>
      </c>
      <c r="I5" s="4">
        <v>29.73</v>
      </c>
      <c r="J5" s="4">
        <v>8.81</v>
      </c>
      <c r="K5" s="5" t="s">
        <v>35</v>
      </c>
      <c r="HP5" s="4">
        <f>195+259</f>
        <v>454</v>
      </c>
      <c r="HX5" s="4">
        <f>602+1321</f>
        <v>1923</v>
      </c>
    </row>
    <row r="6" spans="1:258" x14ac:dyDescent="0.3">
      <c r="A6" s="9" t="s">
        <v>250</v>
      </c>
      <c r="B6" s="4" t="s">
        <v>314</v>
      </c>
      <c r="C6" s="4" t="s">
        <v>46</v>
      </c>
      <c r="D6" s="4" t="s">
        <v>47</v>
      </c>
      <c r="E6" s="4">
        <v>451</v>
      </c>
      <c r="F6" s="4">
        <f>SUM(L6:DP6)</f>
        <v>0</v>
      </c>
      <c r="G6" s="4">
        <f>COUNT(L6:DP6)</f>
        <v>0</v>
      </c>
      <c r="H6" s="4">
        <v>8.4700000000000006</v>
      </c>
      <c r="I6" s="4">
        <v>8.4700000000000006</v>
      </c>
      <c r="J6" s="4">
        <v>8.4700000000000006</v>
      </c>
      <c r="K6" s="5" t="s">
        <v>48</v>
      </c>
      <c r="EK6" s="4">
        <f>172+220</f>
        <v>392</v>
      </c>
    </row>
    <row r="7" spans="1:258" x14ac:dyDescent="0.3">
      <c r="A7" s="7" t="s">
        <v>259</v>
      </c>
      <c r="B7" s="4" t="s">
        <v>294</v>
      </c>
      <c r="C7" s="4" t="s">
        <v>176</v>
      </c>
      <c r="D7" s="4" t="s">
        <v>177</v>
      </c>
      <c r="E7" s="4">
        <v>451</v>
      </c>
      <c r="F7" s="4">
        <f>SUM(L7:DP7)</f>
        <v>5527</v>
      </c>
      <c r="G7" s="4">
        <f>COUNT(L7:DP7)</f>
        <v>5</v>
      </c>
      <c r="H7" s="4">
        <v>26.48</v>
      </c>
      <c r="I7" s="4">
        <v>48.2</v>
      </c>
      <c r="J7" s="4">
        <v>11.78</v>
      </c>
      <c r="K7" s="5" t="s">
        <v>178</v>
      </c>
      <c r="BA7" s="4">
        <f>149+350</f>
        <v>499</v>
      </c>
      <c r="BG7" s="4">
        <f>454+1208</f>
        <v>1662</v>
      </c>
      <c r="BH7" s="4">
        <f>205+571</f>
        <v>776</v>
      </c>
      <c r="DH7" s="4">
        <f>211+570</f>
        <v>781</v>
      </c>
      <c r="DP7" s="4">
        <f>480+1329</f>
        <v>1809</v>
      </c>
      <c r="EI7" s="4">
        <f>134+334</f>
        <v>468</v>
      </c>
      <c r="EM7" s="4">
        <f>522+1036</f>
        <v>1558</v>
      </c>
      <c r="EN7" s="4">
        <f>563+922</f>
        <v>1485</v>
      </c>
      <c r="EO7" s="4">
        <f>433+847</f>
        <v>1280</v>
      </c>
      <c r="EP7" s="4">
        <f>229+383</f>
        <v>612</v>
      </c>
      <c r="ER7" s="4">
        <f>69+87</f>
        <v>156</v>
      </c>
      <c r="EY7" s="4">
        <f>199+335</f>
        <v>534</v>
      </c>
      <c r="FE7" s="4">
        <f>354+409</f>
        <v>763</v>
      </c>
      <c r="FH7" s="4">
        <f>12+9</f>
        <v>21</v>
      </c>
      <c r="FI7" s="4">
        <f>13+25</f>
        <v>38</v>
      </c>
      <c r="FJ7" s="4">
        <f>10+9</f>
        <v>19</v>
      </c>
      <c r="FQ7" s="4">
        <f>660+1029</f>
        <v>1689</v>
      </c>
      <c r="FW7" s="4">
        <f>97+167</f>
        <v>264</v>
      </c>
      <c r="HA7" s="4">
        <f>184+338</f>
        <v>522</v>
      </c>
      <c r="IM7" s="4">
        <f>1175+1771</f>
        <v>2946</v>
      </c>
      <c r="IU7" s="4">
        <f>43+68</f>
        <v>111</v>
      </c>
    </row>
    <row r="8" spans="1:258" x14ac:dyDescent="0.3">
      <c r="A8" s="4" t="s">
        <v>252</v>
      </c>
      <c r="B8" s="4" t="s">
        <v>324</v>
      </c>
      <c r="C8" s="4" t="s">
        <v>52</v>
      </c>
      <c r="D8" s="4" t="s">
        <v>53</v>
      </c>
      <c r="E8" s="4">
        <v>451</v>
      </c>
      <c r="F8" s="4">
        <f>SUM(L8:DP8)</f>
        <v>0</v>
      </c>
      <c r="G8" s="4">
        <f>COUNT(L8:DP8)</f>
        <v>0</v>
      </c>
      <c r="H8" s="4">
        <v>1.41</v>
      </c>
      <c r="I8" s="4">
        <v>1.41</v>
      </c>
      <c r="J8" s="4">
        <v>1.41</v>
      </c>
      <c r="K8" s="5" t="s">
        <v>54</v>
      </c>
      <c r="FW8" s="4">
        <f>20+36</f>
        <v>56</v>
      </c>
    </row>
    <row r="9" spans="1:258" x14ac:dyDescent="0.3">
      <c r="A9" s="4" t="s">
        <v>251</v>
      </c>
      <c r="B9" s="4" t="s">
        <v>315</v>
      </c>
      <c r="C9" s="4" t="s">
        <v>49</v>
      </c>
      <c r="D9" s="4" t="s">
        <v>50</v>
      </c>
      <c r="E9" s="4">
        <v>451</v>
      </c>
      <c r="F9" s="4">
        <f>SUM(L9:DP9)</f>
        <v>0</v>
      </c>
      <c r="G9" s="4">
        <f>COUNT(L9:DP9)</f>
        <v>0</v>
      </c>
      <c r="H9" s="4">
        <v>1.81</v>
      </c>
      <c r="I9" s="4">
        <v>1.81</v>
      </c>
      <c r="J9" s="4">
        <v>1.81</v>
      </c>
      <c r="K9" s="5" t="s">
        <v>51</v>
      </c>
      <c r="FW9" s="4">
        <f>25+47</f>
        <v>72</v>
      </c>
    </row>
    <row r="10" spans="1:258" x14ac:dyDescent="0.3">
      <c r="A10" s="4" t="s">
        <v>247</v>
      </c>
      <c r="B10" s="4" t="s">
        <v>313</v>
      </c>
      <c r="C10" s="4" t="s">
        <v>36</v>
      </c>
      <c r="D10" s="4" t="s">
        <v>37</v>
      </c>
      <c r="E10" s="4">
        <v>451</v>
      </c>
      <c r="F10" s="4">
        <f>SUM(L10:DP10)</f>
        <v>0</v>
      </c>
      <c r="G10" s="4">
        <f>COUNT(L10:DP10)</f>
        <v>0</v>
      </c>
      <c r="H10" s="4">
        <v>31.61</v>
      </c>
      <c r="I10" s="4">
        <v>31.61</v>
      </c>
      <c r="J10" s="4">
        <v>31.61</v>
      </c>
      <c r="K10" s="5" t="s">
        <v>38</v>
      </c>
      <c r="HY10" s="4">
        <f>519+1499</f>
        <v>2018</v>
      </c>
    </row>
    <row r="11" spans="1:258" x14ac:dyDescent="0.3">
      <c r="A11" s="10" t="s">
        <v>179</v>
      </c>
      <c r="B11" s="4" t="s">
        <v>301</v>
      </c>
      <c r="C11" s="4" t="s">
        <v>180</v>
      </c>
      <c r="D11" s="4" t="s">
        <v>181</v>
      </c>
      <c r="E11" s="4">
        <v>451</v>
      </c>
      <c r="F11" s="4">
        <f>SUM(L11:DP11)</f>
        <v>4398</v>
      </c>
      <c r="G11" s="4">
        <f>COUNT(L11:DP11)</f>
        <v>10</v>
      </c>
      <c r="H11" s="4">
        <v>11.58</v>
      </c>
      <c r="I11" s="4">
        <v>23.36</v>
      </c>
      <c r="J11" s="4">
        <v>5.32</v>
      </c>
      <c r="K11" s="5" t="s">
        <v>32</v>
      </c>
      <c r="Z11" s="4">
        <f>50+226</f>
        <v>276</v>
      </c>
      <c r="AH11" s="4">
        <f>47+174</f>
        <v>221</v>
      </c>
      <c r="AJ11" s="4">
        <f>62+204</f>
        <v>266</v>
      </c>
      <c r="BT11" s="4">
        <f>159+418</f>
        <v>577</v>
      </c>
      <c r="BU11" s="4">
        <f>62+147</f>
        <v>209</v>
      </c>
      <c r="BW11" s="4">
        <f>144+402</f>
        <v>546</v>
      </c>
      <c r="BY11" s="4">
        <f>118+340</f>
        <v>458</v>
      </c>
      <c r="BZ11" s="4">
        <f>224+689</f>
        <v>913</v>
      </c>
      <c r="CA11" s="4">
        <f>163+393</f>
        <v>556</v>
      </c>
      <c r="CB11" s="4">
        <f>95+281</f>
        <v>376</v>
      </c>
    </row>
    <row r="12" spans="1:258" x14ac:dyDescent="0.3">
      <c r="A12" s="10" t="s">
        <v>205</v>
      </c>
      <c r="B12" s="4" t="s">
        <v>308</v>
      </c>
      <c r="C12" s="4" t="s">
        <v>206</v>
      </c>
      <c r="D12" s="4" t="s">
        <v>207</v>
      </c>
      <c r="E12" s="4">
        <v>451</v>
      </c>
      <c r="F12" s="4">
        <f>SUM(L12:DP12)</f>
        <v>203</v>
      </c>
      <c r="G12" s="4">
        <f>COUNT(L12:DP12)</f>
        <v>1</v>
      </c>
      <c r="H12" s="4">
        <v>6.35</v>
      </c>
      <c r="I12" s="4">
        <v>6.35</v>
      </c>
      <c r="J12" s="4">
        <v>6.35</v>
      </c>
      <c r="K12" s="5" t="s">
        <v>208</v>
      </c>
      <c r="CR12" s="4">
        <f>36+167</f>
        <v>203</v>
      </c>
    </row>
    <row r="13" spans="1:258" x14ac:dyDescent="0.3">
      <c r="A13" s="10" t="s">
        <v>201</v>
      </c>
      <c r="B13" s="4" t="s">
        <v>307</v>
      </c>
      <c r="C13" s="4" t="s">
        <v>202</v>
      </c>
      <c r="D13" s="4" t="s">
        <v>203</v>
      </c>
      <c r="E13" s="4">
        <v>451</v>
      </c>
      <c r="F13" s="4">
        <f>SUM(L13:DP13)</f>
        <v>790</v>
      </c>
      <c r="G13" s="4">
        <f>COUNT(L13:DP13)</f>
        <v>3</v>
      </c>
      <c r="H13" s="4">
        <v>7.33</v>
      </c>
      <c r="I13" s="4">
        <v>9.7799999999999994</v>
      </c>
      <c r="J13" s="4">
        <v>5.96</v>
      </c>
      <c r="K13" s="5" t="s">
        <v>204</v>
      </c>
      <c r="CO13" s="4">
        <f>57+155</f>
        <v>212</v>
      </c>
      <c r="CQ13" s="4">
        <f>61+161</f>
        <v>222</v>
      </c>
      <c r="CS13" s="4">
        <f>91+265</f>
        <v>356</v>
      </c>
    </row>
    <row r="14" spans="1:258" x14ac:dyDescent="0.3">
      <c r="A14" s="11" t="s">
        <v>257</v>
      </c>
      <c r="B14" s="4" t="s">
        <v>292</v>
      </c>
      <c r="C14" s="4" t="s">
        <v>172</v>
      </c>
      <c r="D14" s="4" t="s">
        <v>173</v>
      </c>
      <c r="E14" s="4">
        <v>451</v>
      </c>
      <c r="F14" s="4">
        <f>SUM(L14:DP14)</f>
        <v>45626</v>
      </c>
      <c r="G14" s="4">
        <f>COUNT(L14:DP14)</f>
        <v>48</v>
      </c>
      <c r="H14" s="4">
        <v>24.81</v>
      </c>
      <c r="I14" s="4">
        <v>50.83</v>
      </c>
      <c r="J14" s="4">
        <v>1.1499999999999999</v>
      </c>
      <c r="K14" s="5" t="s">
        <v>30</v>
      </c>
      <c r="U14" s="4">
        <f>104+649</f>
        <v>753</v>
      </c>
      <c r="X14" s="4">
        <f>86+175</f>
        <v>261</v>
      </c>
      <c r="AF14" s="4">
        <f>307+908</f>
        <v>1215</v>
      </c>
      <c r="AG14" s="4">
        <f>506+1200</f>
        <v>1706</v>
      </c>
      <c r="AH14" s="4">
        <f>128+343</f>
        <v>471</v>
      </c>
      <c r="AI14" s="4">
        <f>326+881</f>
        <v>1207</v>
      </c>
      <c r="AJ14" s="4">
        <f>232+538</f>
        <v>770</v>
      </c>
      <c r="AX14" s="4">
        <f>90+344</f>
        <v>434</v>
      </c>
      <c r="AY14" s="4">
        <f>347+1110</f>
        <v>1457</v>
      </c>
      <c r="AZ14" s="4">
        <f>274+907</f>
        <v>1181</v>
      </c>
      <c r="BA14" s="4">
        <f>160+554</f>
        <v>714</v>
      </c>
      <c r="BB14" s="4">
        <f>246+650</f>
        <v>896</v>
      </c>
      <c r="BC14" s="4">
        <f>366+969</f>
        <v>1335</v>
      </c>
      <c r="BD14" s="4">
        <f>189+621</f>
        <v>810</v>
      </c>
      <c r="BE14" s="4">
        <f>385+1068</f>
        <v>1453</v>
      </c>
      <c r="BF14" s="4">
        <f>125+468</f>
        <v>593</v>
      </c>
      <c r="BH14" s="4">
        <f>198+677</f>
        <v>875</v>
      </c>
      <c r="BL14" s="4">
        <f>125+395</f>
        <v>520</v>
      </c>
      <c r="BN14" s="4">
        <f>8+29</f>
        <v>37</v>
      </c>
      <c r="BS14" s="4">
        <f>222+901</f>
        <v>1123</v>
      </c>
      <c r="BT14" s="4">
        <f>198+606</f>
        <v>804</v>
      </c>
      <c r="BU14" s="4">
        <f>143+526</f>
        <v>669</v>
      </c>
      <c r="BV14" s="4">
        <f>237+1096</f>
        <v>1333</v>
      </c>
      <c r="BW14" s="4">
        <f>264+932</f>
        <v>1196</v>
      </c>
      <c r="BY14" s="4">
        <f>245+822</f>
        <v>1067</v>
      </c>
      <c r="BZ14" s="4">
        <f>223+663</f>
        <v>886</v>
      </c>
      <c r="CA14" s="4">
        <f>253+838</f>
        <v>1091</v>
      </c>
      <c r="CB14" s="4">
        <f>353+1197</f>
        <v>1550</v>
      </c>
      <c r="CC14" s="4">
        <f>70+245</f>
        <v>315</v>
      </c>
      <c r="CD14" s="4">
        <f>62+212</f>
        <v>274</v>
      </c>
      <c r="CE14" s="4">
        <f>106+392</f>
        <v>498</v>
      </c>
      <c r="CF14" s="4">
        <f>350+980</f>
        <v>1330</v>
      </c>
      <c r="CI14" s="4">
        <f>194+559</f>
        <v>753</v>
      </c>
      <c r="CK14" s="4">
        <f>258+843</f>
        <v>1101</v>
      </c>
      <c r="CL14" s="4">
        <f>359+991</f>
        <v>1350</v>
      </c>
      <c r="CM14" s="4">
        <f>249+1046</f>
        <v>1295</v>
      </c>
      <c r="CN14" s="4">
        <f>429+2518</f>
        <v>2947</v>
      </c>
      <c r="CO14" s="4">
        <f>224+915</f>
        <v>1139</v>
      </c>
      <c r="CP14" s="4">
        <f>170+686</f>
        <v>856</v>
      </c>
      <c r="CQ14" s="4">
        <f>207+785</f>
        <v>992</v>
      </c>
      <c r="CR14" s="4">
        <f>103+426</f>
        <v>529</v>
      </c>
      <c r="CS14" s="4">
        <f>192+590</f>
        <v>782</v>
      </c>
      <c r="CT14" s="4">
        <f>220+898</f>
        <v>1118</v>
      </c>
      <c r="CU14" s="4">
        <f>93+336</f>
        <v>429</v>
      </c>
      <c r="CY14" s="4">
        <f>123+573</f>
        <v>696</v>
      </c>
      <c r="DA14" s="4">
        <f>141+615</f>
        <v>756</v>
      </c>
      <c r="DK14" s="4">
        <f>163+545</f>
        <v>708</v>
      </c>
      <c r="DN14" s="4">
        <f>279+1072</f>
        <v>1351</v>
      </c>
      <c r="DT14" s="4">
        <v>853</v>
      </c>
      <c r="EA14" s="4">
        <v>1507</v>
      </c>
      <c r="EB14" s="4">
        <v>911</v>
      </c>
      <c r="EF14" s="4">
        <v>857</v>
      </c>
      <c r="EG14" s="4">
        <v>1509</v>
      </c>
      <c r="EP14" s="4">
        <v>561</v>
      </c>
      <c r="EQ14" s="4">
        <v>1097</v>
      </c>
      <c r="ER14" s="4">
        <v>820</v>
      </c>
      <c r="ES14" s="4">
        <v>1362</v>
      </c>
      <c r="ET14" s="4">
        <v>94</v>
      </c>
      <c r="EU14" s="4">
        <v>100</v>
      </c>
      <c r="EW14" s="4">
        <v>880</v>
      </c>
      <c r="EX14" s="4">
        <v>1360</v>
      </c>
      <c r="EY14" s="4">
        <v>519</v>
      </c>
      <c r="FA14" s="4">
        <v>937</v>
      </c>
      <c r="FB14" s="4">
        <v>2112</v>
      </c>
      <c r="FC14" s="4">
        <v>176</v>
      </c>
      <c r="FD14" s="4">
        <v>207</v>
      </c>
      <c r="FE14" s="4">
        <v>864</v>
      </c>
      <c r="FF14" s="4">
        <v>1273</v>
      </c>
      <c r="FH14" s="4">
        <v>95</v>
      </c>
      <c r="FJ14" s="4">
        <v>104</v>
      </c>
      <c r="FN14" s="4">
        <v>2477</v>
      </c>
      <c r="FO14" s="4">
        <v>2229</v>
      </c>
      <c r="FP14" s="4">
        <v>1025</v>
      </c>
      <c r="FR14" s="4">
        <v>944</v>
      </c>
      <c r="FU14" s="4">
        <v>709</v>
      </c>
      <c r="FV14" s="4">
        <v>183</v>
      </c>
      <c r="FW14" s="4">
        <v>128</v>
      </c>
      <c r="FX14" s="4">
        <v>2140</v>
      </c>
      <c r="FY14" s="4">
        <v>1788</v>
      </c>
      <c r="FZ14" s="4">
        <v>2456</v>
      </c>
      <c r="GA14" s="4">
        <v>2175</v>
      </c>
      <c r="GB14" s="4">
        <v>1592</v>
      </c>
      <c r="GC14" s="4">
        <v>1145</v>
      </c>
      <c r="HA14" s="4">
        <v>97</v>
      </c>
      <c r="HK14" s="4">
        <v>1966</v>
      </c>
      <c r="HO14" s="4">
        <v>181</v>
      </c>
      <c r="HP14" s="4">
        <v>819</v>
      </c>
      <c r="HR14" s="4">
        <v>3276</v>
      </c>
      <c r="HS14" s="4">
        <v>194</v>
      </c>
      <c r="HT14" s="4">
        <v>114</v>
      </c>
      <c r="HV14" s="4">
        <v>1605</v>
      </c>
      <c r="II14" s="4">
        <v>1366</v>
      </c>
      <c r="IO14" s="4">
        <v>2619</v>
      </c>
      <c r="IP14" s="4">
        <v>2526</v>
      </c>
      <c r="IU14" s="4">
        <v>93</v>
      </c>
    </row>
    <row r="15" spans="1:258" x14ac:dyDescent="0.3">
      <c r="A15" s="10" t="s">
        <v>225</v>
      </c>
      <c r="B15" s="4" t="s">
        <v>295</v>
      </c>
      <c r="C15" s="4" t="s">
        <v>226</v>
      </c>
      <c r="D15" s="4" t="s">
        <v>227</v>
      </c>
      <c r="E15" s="4">
        <v>451</v>
      </c>
      <c r="F15" s="4">
        <f>SUM(L15:DP15)</f>
        <v>212</v>
      </c>
      <c r="G15" s="4">
        <f>COUNT(L15:DP15)</f>
        <v>1</v>
      </c>
      <c r="H15" s="4">
        <v>7.41</v>
      </c>
      <c r="I15" s="4">
        <v>7.41</v>
      </c>
      <c r="J15" s="4">
        <v>7.41</v>
      </c>
      <c r="K15" s="5" t="s">
        <v>228</v>
      </c>
      <c r="BL15" s="4">
        <f>34+178</f>
        <v>212</v>
      </c>
    </row>
    <row r="16" spans="1:258" x14ac:dyDescent="0.3">
      <c r="A16" s="10" t="s">
        <v>233</v>
      </c>
      <c r="B16" s="4" t="s">
        <v>309</v>
      </c>
      <c r="C16" s="4" t="s">
        <v>234</v>
      </c>
      <c r="D16" s="4" t="s">
        <v>235</v>
      </c>
      <c r="E16" s="4">
        <v>451</v>
      </c>
      <c r="F16" s="4">
        <f>SUM(L16:DP16)</f>
        <v>191</v>
      </c>
      <c r="G16" s="4">
        <f>COUNT(L16:DP16)</f>
        <v>1</v>
      </c>
      <c r="H16" s="4">
        <v>6.68</v>
      </c>
      <c r="I16" s="4">
        <v>6.68</v>
      </c>
      <c r="J16" s="4">
        <v>6.68</v>
      </c>
      <c r="K16" s="5" t="s">
        <v>236</v>
      </c>
      <c r="BL16" s="4">
        <f>36+155</f>
        <v>191</v>
      </c>
    </row>
    <row r="17" spans="1:258" x14ac:dyDescent="0.3">
      <c r="A17" s="8" t="s">
        <v>209</v>
      </c>
      <c r="B17" s="4" t="s">
        <v>311</v>
      </c>
      <c r="C17" s="4" t="s">
        <v>210</v>
      </c>
      <c r="D17" s="4" t="s">
        <v>211</v>
      </c>
      <c r="E17" s="4">
        <v>451</v>
      </c>
      <c r="F17" s="4">
        <f>SUM(L17:DP17)</f>
        <v>88</v>
      </c>
      <c r="G17" s="4">
        <f>COUNT(L17:DP17)</f>
        <v>1</v>
      </c>
      <c r="H17" s="4">
        <v>8.4600000000000009</v>
      </c>
      <c r="I17" s="4">
        <v>8.4600000000000009</v>
      </c>
      <c r="J17" s="4">
        <v>8.4600000000000009</v>
      </c>
      <c r="K17" s="5" t="s">
        <v>45</v>
      </c>
      <c r="M17" s="4">
        <f>24+64</f>
        <v>88</v>
      </c>
    </row>
    <row r="18" spans="1:258" x14ac:dyDescent="0.3">
      <c r="A18" s="10" t="s">
        <v>229</v>
      </c>
      <c r="B18" s="4" t="s">
        <v>310</v>
      </c>
      <c r="C18" s="4" t="s">
        <v>230</v>
      </c>
      <c r="D18" s="4" t="s">
        <v>231</v>
      </c>
      <c r="E18" s="4">
        <v>451</v>
      </c>
      <c r="F18" s="4">
        <f>SUM(L18:DP18)</f>
        <v>123</v>
      </c>
      <c r="G18" s="4">
        <f>COUNT(L18:DP18)</f>
        <v>1</v>
      </c>
      <c r="H18" s="4">
        <v>11.83</v>
      </c>
      <c r="I18" s="4">
        <v>11.83</v>
      </c>
      <c r="J18" s="4">
        <v>11.83</v>
      </c>
      <c r="K18" s="5" t="s">
        <v>232</v>
      </c>
      <c r="M18" s="4">
        <f>31+92</f>
        <v>123</v>
      </c>
    </row>
    <row r="19" spans="1:258" x14ac:dyDescent="0.3">
      <c r="A19" s="7" t="s">
        <v>258</v>
      </c>
      <c r="B19" s="4" t="s">
        <v>293</v>
      </c>
      <c r="C19" s="4" t="s">
        <v>174</v>
      </c>
      <c r="D19" s="4" t="s">
        <v>175</v>
      </c>
      <c r="E19" s="4">
        <v>451</v>
      </c>
      <c r="F19" s="4">
        <f>SUM(L19:DP19)</f>
        <v>15139</v>
      </c>
      <c r="G19" s="4">
        <f>COUNT(L19:DP19)</f>
        <v>11</v>
      </c>
      <c r="H19" s="4">
        <v>73.02</v>
      </c>
      <c r="I19" s="4">
        <v>88.03</v>
      </c>
      <c r="J19" s="4">
        <v>9.1999999999999993</v>
      </c>
      <c r="K19" s="5" t="s">
        <v>31</v>
      </c>
      <c r="L19" s="4">
        <f>172+844</f>
        <v>1016</v>
      </c>
      <c r="M19" s="4">
        <f>95+559</f>
        <v>654</v>
      </c>
      <c r="N19" s="4">
        <f>195+886</f>
        <v>1081</v>
      </c>
      <c r="O19" s="4">
        <f>381+1582</f>
        <v>1963</v>
      </c>
      <c r="P19" s="4">
        <f>429+1961</f>
        <v>2390</v>
      </c>
      <c r="Q19" s="4">
        <f>373+1749</f>
        <v>2122</v>
      </c>
      <c r="R19" s="4">
        <f>230+1022</f>
        <v>1252</v>
      </c>
      <c r="S19" s="4">
        <f>443+1738</f>
        <v>2181</v>
      </c>
      <c r="T19" s="4">
        <f>203+1198</f>
        <v>1401</v>
      </c>
      <c r="BU19" s="4">
        <f>167+608</f>
        <v>775</v>
      </c>
      <c r="CI19" s="4">
        <f>63+241</f>
        <v>304</v>
      </c>
      <c r="EI19" s="4">
        <f>378+1126</f>
        <v>1504</v>
      </c>
      <c r="EJ19" s="4">
        <f>879+1722</f>
        <v>2601</v>
      </c>
      <c r="EL19" s="4">
        <f>398+705</f>
        <v>1103</v>
      </c>
      <c r="EV19" s="4">
        <f>476+1362</f>
        <v>1838</v>
      </c>
      <c r="FC19" s="4">
        <f>311+1149</f>
        <v>1460</v>
      </c>
      <c r="FD19" s="4">
        <f>506+1109</f>
        <v>1615</v>
      </c>
      <c r="FI19" s="4">
        <f>964+2088</f>
        <v>3052</v>
      </c>
      <c r="FM19" s="4">
        <f>26+32</f>
        <v>58</v>
      </c>
      <c r="FS19" s="4">
        <f>1112+2068</f>
        <v>3180</v>
      </c>
      <c r="FT19" s="4">
        <f>867+1840</f>
        <v>2707</v>
      </c>
      <c r="HB19" s="4">
        <f>533+1291</f>
        <v>1824</v>
      </c>
      <c r="HL19" s="4">
        <f>407+883</f>
        <v>1290</v>
      </c>
      <c r="IG19" s="4">
        <f>654+1660</f>
        <v>2314</v>
      </c>
      <c r="IV19" s="4">
        <f>967+1375</f>
        <v>2342</v>
      </c>
      <c r="IW19" s="4">
        <f>2406+3127</f>
        <v>5533</v>
      </c>
    </row>
    <row r="20" spans="1:258" x14ac:dyDescent="0.3">
      <c r="A20" s="10" t="s">
        <v>182</v>
      </c>
      <c r="B20" s="4" t="s">
        <v>298</v>
      </c>
      <c r="C20" s="4" t="s">
        <v>183</v>
      </c>
      <c r="D20" s="4" t="s">
        <v>184</v>
      </c>
      <c r="E20" s="4">
        <v>451</v>
      </c>
      <c r="F20" s="4">
        <f>SUM(L20:DP20)</f>
        <v>1304</v>
      </c>
      <c r="G20" s="4">
        <f>COUNT(L20:DP20)</f>
        <v>3</v>
      </c>
      <c r="H20" s="4">
        <v>11.29</v>
      </c>
      <c r="I20" s="4">
        <v>14.24</v>
      </c>
      <c r="J20" s="4">
        <v>7.71</v>
      </c>
      <c r="K20" s="5" t="s">
        <v>185</v>
      </c>
      <c r="CZ20" s="4">
        <f>154+368</f>
        <v>522</v>
      </c>
      <c r="DC20" s="4">
        <f>83+237</f>
        <v>320</v>
      </c>
      <c r="DD20" s="4">
        <f>136+326</f>
        <v>462</v>
      </c>
    </row>
    <row r="21" spans="1:258" x14ac:dyDescent="0.3">
      <c r="A21" s="11" t="s">
        <v>255</v>
      </c>
      <c r="B21" s="4" t="s">
        <v>290</v>
      </c>
      <c r="C21" s="4" t="s">
        <v>168</v>
      </c>
      <c r="D21" s="4" t="s">
        <v>169</v>
      </c>
      <c r="E21" s="4">
        <v>451</v>
      </c>
      <c r="F21" s="4">
        <f>SUM(L21:DP21)</f>
        <v>182899</v>
      </c>
      <c r="G21" s="4">
        <f>COUNT(L21:DP21)</f>
        <v>93</v>
      </c>
      <c r="H21" s="4">
        <v>55.24</v>
      </c>
      <c r="I21" s="4">
        <v>88.31</v>
      </c>
      <c r="J21" s="4">
        <v>3.48</v>
      </c>
      <c r="K21" s="5" t="s">
        <v>24</v>
      </c>
      <c r="U21" s="4">
        <f>248+1233</f>
        <v>1481</v>
      </c>
      <c r="V21" s="4">
        <f>269+1992</f>
        <v>2261</v>
      </c>
      <c r="W21" s="4">
        <f>744+2621</f>
        <v>3365</v>
      </c>
      <c r="X21" s="4">
        <f>322+1160</f>
        <v>1482</v>
      </c>
      <c r="Y21" s="4">
        <f>390+2688</f>
        <v>3078</v>
      </c>
      <c r="Z21" s="4">
        <f>374+1962</f>
        <v>2336</v>
      </c>
      <c r="AA21" s="4">
        <f>453+1136</f>
        <v>1589</v>
      </c>
      <c r="AB21" s="4">
        <f>257+1602</f>
        <v>1859</v>
      </c>
      <c r="AC21" s="4">
        <f>446+1435</f>
        <v>1881</v>
      </c>
      <c r="AD21" s="4">
        <f>234+1434</f>
        <v>1668</v>
      </c>
      <c r="AE21" s="4">
        <f>576+2649</f>
        <v>3225</v>
      </c>
      <c r="AF21" s="4">
        <f>367+1591</f>
        <v>1958</v>
      </c>
      <c r="AG21" s="4">
        <f>250+777</f>
        <v>1027</v>
      </c>
      <c r="AH21" s="4">
        <f>386+1703</f>
        <v>2089</v>
      </c>
      <c r="AI21" s="4">
        <f>370+1329</f>
        <v>1699</v>
      </c>
      <c r="AJ21" s="4">
        <f>546+2238</f>
        <v>2784</v>
      </c>
      <c r="AK21" s="4">
        <f>409+2711</f>
        <v>3120</v>
      </c>
      <c r="AL21" s="4">
        <f>601+2294</f>
        <v>2895</v>
      </c>
      <c r="AM21" s="4">
        <f>348+2081</f>
        <v>2429</v>
      </c>
      <c r="AN21" s="4">
        <f>346+2047</f>
        <v>2393</v>
      </c>
      <c r="AO21" s="4">
        <f>469+1979</f>
        <v>2448</v>
      </c>
      <c r="AP21" s="4">
        <f>354+1742</f>
        <v>2096</v>
      </c>
      <c r="AQ21" s="4">
        <f>414+2104</f>
        <v>2518</v>
      </c>
      <c r="AR21" s="4">
        <f>581+2356</f>
        <v>2937</v>
      </c>
      <c r="AS21" s="4">
        <f>422+2236</f>
        <v>2658</v>
      </c>
      <c r="AT21" s="4">
        <f>202+942</f>
        <v>1144</v>
      </c>
      <c r="AU21" s="4">
        <f>503+1775</f>
        <v>2278</v>
      </c>
      <c r="AV21" s="4">
        <f>574+2432</f>
        <v>3006</v>
      </c>
      <c r="AW21" s="4">
        <f>602+2138</f>
        <v>2740</v>
      </c>
      <c r="AX21" s="4">
        <f>327+1167</f>
        <v>1494</v>
      </c>
      <c r="AY21" s="4">
        <f>270+775</f>
        <v>1045</v>
      </c>
      <c r="AZ21" s="4">
        <f>234+881</f>
        <v>1115</v>
      </c>
      <c r="BA21" s="4">
        <f>372+1019</f>
        <v>1391</v>
      </c>
      <c r="BB21" s="4">
        <f>256+733</f>
        <v>989</v>
      </c>
      <c r="BC21" s="4">
        <f>243+679</f>
        <v>922</v>
      </c>
      <c r="BD21" s="4">
        <f>521+1325</f>
        <v>1846</v>
      </c>
      <c r="BE21" s="4">
        <f>316+822</f>
        <v>1138</v>
      </c>
      <c r="BF21" s="4">
        <f>335+896</f>
        <v>1231</v>
      </c>
      <c r="BG21" s="4">
        <f>315+983</f>
        <v>1298</v>
      </c>
      <c r="BH21" s="4">
        <f>388+1170</f>
        <v>1558</v>
      </c>
      <c r="BJ21" s="4">
        <f>658+2152</f>
        <v>2810</v>
      </c>
      <c r="BK21" s="4">
        <f>486+1975</f>
        <v>2461</v>
      </c>
      <c r="BL21" s="4">
        <f>259+899</f>
        <v>1158</v>
      </c>
      <c r="BM21" s="4">
        <f>193+1258</f>
        <v>1451</v>
      </c>
      <c r="BN21" s="4">
        <f>17+95</f>
        <v>112</v>
      </c>
      <c r="BO21" s="4">
        <f>684+2276</f>
        <v>2960</v>
      </c>
      <c r="BS21" s="4">
        <f>180+632</f>
        <v>812</v>
      </c>
      <c r="BT21" s="4">
        <f>316+867</f>
        <v>1183</v>
      </c>
      <c r="BU21" s="4">
        <f>160+528</f>
        <v>688</v>
      </c>
      <c r="BV21" s="4">
        <f>304+1082</f>
        <v>1386</v>
      </c>
      <c r="BW21" s="4">
        <f>336+1157</f>
        <v>1493</v>
      </c>
      <c r="BY21" s="4">
        <f>353+1085</f>
        <v>1438</v>
      </c>
      <c r="BZ21" s="4">
        <f>326+935</f>
        <v>1261</v>
      </c>
      <c r="CA21" s="4">
        <f>324+1127</f>
        <v>1451</v>
      </c>
      <c r="CB21" s="4">
        <f>383+1182</f>
        <v>1565</v>
      </c>
      <c r="CC21" s="4">
        <f>187+907</f>
        <v>1094</v>
      </c>
      <c r="CD21" s="4">
        <f>112+457</f>
        <v>569</v>
      </c>
      <c r="CE21" s="4">
        <f>265+1199</f>
        <v>1464</v>
      </c>
      <c r="CF21" s="4">
        <f>217+717</f>
        <v>934</v>
      </c>
      <c r="CG21" s="4">
        <f>598+2451</f>
        <v>3049</v>
      </c>
      <c r="CH21" s="4">
        <f>554+2547</f>
        <v>3101</v>
      </c>
      <c r="CI21" s="4">
        <f>236+885</f>
        <v>1121</v>
      </c>
      <c r="CJ21" s="4">
        <f>546+2989</f>
        <v>3535</v>
      </c>
      <c r="CK21" s="4">
        <f>582+2096</f>
        <v>2678</v>
      </c>
      <c r="CL21" s="4">
        <f>351+1234</f>
        <v>1585</v>
      </c>
      <c r="CM21" s="4">
        <f>277+909</f>
        <v>1186</v>
      </c>
      <c r="CN21" s="4">
        <f>639+2658</f>
        <v>3297</v>
      </c>
      <c r="CO21" s="4">
        <f>279+961</f>
        <v>1240</v>
      </c>
      <c r="CP21" s="4">
        <f>155+507</f>
        <v>662</v>
      </c>
      <c r="CQ21" s="4">
        <f>321+1156</f>
        <v>1477</v>
      </c>
      <c r="CR21" s="4">
        <f>349+1318</f>
        <v>1667</v>
      </c>
      <c r="CS21" s="4">
        <f>370+1146</f>
        <v>1516</v>
      </c>
      <c r="CT21" s="4">
        <f>344+954</f>
        <v>1298</v>
      </c>
      <c r="CU21" s="4">
        <f>365+1068</f>
        <v>1433</v>
      </c>
      <c r="CV21" s="4">
        <f>476+2368</f>
        <v>2844</v>
      </c>
      <c r="CW21" s="4">
        <f>574+2967</f>
        <v>3541</v>
      </c>
      <c r="CX21" s="4">
        <f>257+1207</f>
        <v>1464</v>
      </c>
      <c r="CY21" s="4">
        <f>422+1938</f>
        <v>2360</v>
      </c>
      <c r="CZ21" s="4">
        <f>561+2520</f>
        <v>3081</v>
      </c>
      <c r="DA21" s="4">
        <f>483+1978</f>
        <v>2461</v>
      </c>
      <c r="DB21" s="4">
        <f>541+2575</f>
        <v>3116</v>
      </c>
      <c r="DC21" s="4">
        <f>301+1363</f>
        <v>1664</v>
      </c>
      <c r="DD21" s="4">
        <f>446+1906</f>
        <v>2352</v>
      </c>
      <c r="DE21" s="4">
        <f>1227+3020</f>
        <v>4247</v>
      </c>
      <c r="DF21" s="4">
        <f>548+2538</f>
        <v>3086</v>
      </c>
      <c r="DG21" s="4">
        <f>407+2344</f>
        <v>2751</v>
      </c>
      <c r="DH21" s="4">
        <f>188+521</f>
        <v>709</v>
      </c>
      <c r="DI21" s="4">
        <f>636+2968</f>
        <v>3604</v>
      </c>
      <c r="DK21" s="4">
        <f>296+989</f>
        <v>1285</v>
      </c>
      <c r="DL21" s="4">
        <f>682+2488</f>
        <v>3170</v>
      </c>
      <c r="DM21" s="4">
        <f>525+2484</f>
        <v>3009</v>
      </c>
      <c r="DN21" s="4">
        <f>222+809</f>
        <v>1031</v>
      </c>
      <c r="DP21" s="4">
        <f>320+1198</f>
        <v>1518</v>
      </c>
      <c r="DR21" s="4">
        <v>5188</v>
      </c>
      <c r="DS21" s="4">
        <v>4095</v>
      </c>
      <c r="DT21" s="4">
        <v>2969</v>
      </c>
      <c r="DU21" s="4">
        <v>3783</v>
      </c>
      <c r="DV21" s="4">
        <v>4191</v>
      </c>
      <c r="DW21" s="4">
        <v>4569</v>
      </c>
      <c r="DX21" s="4">
        <v>4353</v>
      </c>
      <c r="DY21" s="4">
        <v>3174</v>
      </c>
      <c r="DZ21" s="4">
        <v>3736</v>
      </c>
      <c r="EA21" s="4">
        <v>2982</v>
      </c>
      <c r="EB21" s="4">
        <v>3313</v>
      </c>
      <c r="EC21" s="4">
        <v>3533</v>
      </c>
      <c r="ED21" s="4">
        <v>1992</v>
      </c>
      <c r="EE21" s="4">
        <v>4912</v>
      </c>
      <c r="EF21" s="4">
        <v>3737</v>
      </c>
      <c r="EG21" s="4">
        <v>1515</v>
      </c>
      <c r="EH21" s="4">
        <v>1189</v>
      </c>
      <c r="EI21" s="4">
        <v>1522</v>
      </c>
      <c r="EJ21" s="4">
        <v>1364</v>
      </c>
      <c r="EK21" s="4">
        <v>2193</v>
      </c>
      <c r="EL21" s="4">
        <v>2860</v>
      </c>
      <c r="EM21" s="4">
        <v>3004</v>
      </c>
      <c r="EN21" s="4">
        <v>1760</v>
      </c>
      <c r="EO21" s="4">
        <v>1117</v>
      </c>
      <c r="EP21" s="4">
        <v>1685</v>
      </c>
      <c r="EQ21" s="4">
        <v>1708</v>
      </c>
      <c r="ER21" s="4">
        <v>1466</v>
      </c>
      <c r="ES21" s="4">
        <v>1210</v>
      </c>
      <c r="ET21" s="4">
        <v>321</v>
      </c>
      <c r="EU21" s="4">
        <v>351</v>
      </c>
      <c r="EW21" s="4">
        <v>1529</v>
      </c>
      <c r="EX21" s="4">
        <v>2395</v>
      </c>
      <c r="EY21" s="4">
        <v>2212</v>
      </c>
      <c r="EZ21" s="4">
        <v>3708</v>
      </c>
      <c r="FA21" s="4">
        <v>2377</v>
      </c>
      <c r="FB21" s="4">
        <v>1811</v>
      </c>
      <c r="FC21" s="4">
        <v>488</v>
      </c>
      <c r="FD21" s="4">
        <v>457</v>
      </c>
      <c r="FE21" s="4">
        <v>1614</v>
      </c>
      <c r="FF21" s="4">
        <v>3336</v>
      </c>
      <c r="FG21" s="4">
        <v>5107</v>
      </c>
      <c r="FH21" s="4">
        <v>469</v>
      </c>
      <c r="FJ21" s="4">
        <v>419</v>
      </c>
      <c r="FK21" s="4">
        <v>4542</v>
      </c>
      <c r="FL21" s="4">
        <v>3545</v>
      </c>
      <c r="FM21" s="4">
        <v>470</v>
      </c>
      <c r="FN21" s="4">
        <v>1803</v>
      </c>
      <c r="FO21" s="4">
        <v>1807</v>
      </c>
      <c r="FP21" s="4">
        <v>2776</v>
      </c>
      <c r="FQ21" s="4">
        <v>2473</v>
      </c>
      <c r="FR21" s="4">
        <v>2830</v>
      </c>
      <c r="FU21" s="4">
        <v>2208</v>
      </c>
      <c r="FV21" s="4">
        <v>293</v>
      </c>
      <c r="FW21" s="4">
        <v>430</v>
      </c>
      <c r="FX21" s="4">
        <v>1977</v>
      </c>
      <c r="FY21" s="4">
        <v>2009</v>
      </c>
      <c r="FZ21" s="4">
        <v>1716</v>
      </c>
      <c r="GA21" s="4">
        <v>1970</v>
      </c>
      <c r="GB21" s="4">
        <v>1315</v>
      </c>
      <c r="GC21" s="4">
        <v>1295</v>
      </c>
      <c r="GD21" s="4">
        <v>3748</v>
      </c>
      <c r="GE21" s="4">
        <v>368</v>
      </c>
      <c r="GF21" s="4">
        <v>330</v>
      </c>
      <c r="GG21" s="4">
        <v>1233</v>
      </c>
      <c r="GH21" s="4">
        <v>362</v>
      </c>
      <c r="GI21" s="4">
        <v>5511</v>
      </c>
      <c r="GJ21" s="4">
        <v>5366</v>
      </c>
      <c r="GK21" s="4">
        <v>5649</v>
      </c>
      <c r="GL21" s="4">
        <v>6495</v>
      </c>
      <c r="GM21" s="4">
        <v>6873</v>
      </c>
      <c r="GN21" s="4">
        <v>4798</v>
      </c>
      <c r="GO21" s="4">
        <v>5051</v>
      </c>
      <c r="GP21" s="4">
        <v>4765</v>
      </c>
      <c r="GQ21" s="4">
        <v>2692</v>
      </c>
      <c r="GR21" s="4">
        <v>4697</v>
      </c>
      <c r="GS21" s="4">
        <v>5709</v>
      </c>
      <c r="GT21" s="4">
        <v>5248</v>
      </c>
      <c r="GU21" s="4">
        <v>5692</v>
      </c>
      <c r="GV21" s="4">
        <v>5756</v>
      </c>
      <c r="GW21" s="4">
        <v>4965</v>
      </c>
      <c r="GX21" s="4">
        <v>3766</v>
      </c>
      <c r="GY21" s="4">
        <v>2877</v>
      </c>
      <c r="GZ21" s="4">
        <v>4926</v>
      </c>
      <c r="HA21" s="4">
        <v>2150</v>
      </c>
      <c r="HB21" s="4">
        <v>1271</v>
      </c>
      <c r="HC21" s="4">
        <v>2668</v>
      </c>
      <c r="HD21" s="4">
        <v>4564</v>
      </c>
      <c r="HE21" s="4">
        <v>4431</v>
      </c>
      <c r="HF21" s="4">
        <v>3708</v>
      </c>
      <c r="HG21" s="4">
        <v>1873</v>
      </c>
      <c r="HH21" s="4">
        <v>1902</v>
      </c>
      <c r="HI21" s="4">
        <v>4851</v>
      </c>
      <c r="HJ21" s="4">
        <v>2203</v>
      </c>
      <c r="HK21" s="4">
        <v>3048</v>
      </c>
      <c r="HM21" s="4">
        <v>4313</v>
      </c>
      <c r="HN21" s="4">
        <v>4815</v>
      </c>
      <c r="HO21" s="4">
        <v>767</v>
      </c>
      <c r="HP21" s="4">
        <v>2893</v>
      </c>
      <c r="HQ21" s="4">
        <v>5540</v>
      </c>
      <c r="HR21" s="4">
        <v>2286</v>
      </c>
      <c r="HS21" s="4">
        <v>457</v>
      </c>
      <c r="HT21" s="4">
        <v>378</v>
      </c>
      <c r="HU21" s="4">
        <v>3285</v>
      </c>
      <c r="HV21" s="4">
        <v>1743</v>
      </c>
      <c r="HW21" s="4">
        <v>6015</v>
      </c>
      <c r="HX21" s="4">
        <v>4211</v>
      </c>
      <c r="HY21" s="4">
        <v>4003</v>
      </c>
      <c r="HZ21" s="4">
        <v>6667</v>
      </c>
      <c r="IA21" s="4">
        <v>7068</v>
      </c>
      <c r="IB21" s="4">
        <v>4033</v>
      </c>
      <c r="IC21" s="4">
        <v>4803</v>
      </c>
      <c r="ID21" s="4">
        <v>5119</v>
      </c>
      <c r="IE21" s="4">
        <v>4437</v>
      </c>
      <c r="IF21" s="4">
        <v>1880</v>
      </c>
      <c r="IH21" s="4">
        <v>4780</v>
      </c>
      <c r="II21" s="4">
        <v>1665</v>
      </c>
      <c r="IJ21" s="4">
        <v>3801</v>
      </c>
      <c r="IK21" s="4">
        <v>3474</v>
      </c>
      <c r="IL21" s="4">
        <v>3406</v>
      </c>
      <c r="IM21" s="4">
        <v>2108</v>
      </c>
      <c r="IN21" s="4">
        <v>4542</v>
      </c>
      <c r="IO21" s="4">
        <v>1863</v>
      </c>
      <c r="IP21" s="4">
        <v>2674</v>
      </c>
      <c r="IQ21" s="4">
        <v>5146</v>
      </c>
      <c r="IR21" s="4">
        <v>3529</v>
      </c>
      <c r="IS21" s="4">
        <v>4348</v>
      </c>
      <c r="IT21" s="4">
        <v>4222</v>
      </c>
      <c r="IU21" s="4">
        <v>560</v>
      </c>
      <c r="IV21" s="4">
        <v>2896</v>
      </c>
      <c r="IX21" s="4">
        <v>5738</v>
      </c>
    </row>
    <row r="22" spans="1:258" x14ac:dyDescent="0.3">
      <c r="A22" s="4" t="s">
        <v>248</v>
      </c>
      <c r="B22" s="4" t="s">
        <v>303</v>
      </c>
      <c r="C22" s="4" t="s">
        <v>39</v>
      </c>
      <c r="D22" s="4" t="s">
        <v>40</v>
      </c>
      <c r="E22" s="4">
        <v>451</v>
      </c>
      <c r="F22" s="4">
        <f>SUM(L22:DP22)</f>
        <v>0</v>
      </c>
      <c r="G22" s="4">
        <f>COUNT(L22:DP22)</f>
        <v>0</v>
      </c>
      <c r="H22" s="4">
        <v>17.579999999999998</v>
      </c>
      <c r="I22" s="4">
        <v>17.579999999999998</v>
      </c>
      <c r="J22" s="4">
        <v>17.579999999999998</v>
      </c>
      <c r="K22" s="5" t="s">
        <v>41</v>
      </c>
      <c r="EC22" s="4">
        <f>337+492</f>
        <v>829</v>
      </c>
    </row>
    <row r="23" spans="1:258" x14ac:dyDescent="0.3">
      <c r="A23" s="11" t="s">
        <v>261</v>
      </c>
      <c r="B23" s="4" t="s">
        <v>312</v>
      </c>
      <c r="C23" s="4" t="s">
        <v>222</v>
      </c>
      <c r="D23" s="4" t="s">
        <v>223</v>
      </c>
      <c r="E23" s="4">
        <v>451</v>
      </c>
      <c r="F23" s="4">
        <f>SUM(L23:DP23)</f>
        <v>55</v>
      </c>
      <c r="G23" s="4">
        <f>COUNT(L23:DP23)</f>
        <v>1</v>
      </c>
      <c r="H23" s="4">
        <v>1.71</v>
      </c>
      <c r="I23" s="4">
        <v>1.71</v>
      </c>
      <c r="J23" s="4">
        <v>1.71</v>
      </c>
      <c r="K23" s="5" t="s">
        <v>224</v>
      </c>
      <c r="BN23" s="4">
        <f>9+46</f>
        <v>55</v>
      </c>
      <c r="GE23" s="4">
        <f>31+69</f>
        <v>100</v>
      </c>
      <c r="GF23" s="4">
        <f>36+60</f>
        <v>96</v>
      </c>
      <c r="GG23" s="4">
        <f>152+206</f>
        <v>358</v>
      </c>
    </row>
    <row r="24" spans="1:258" x14ac:dyDescent="0.3">
      <c r="A24" s="11" t="s">
        <v>256</v>
      </c>
      <c r="B24" s="4" t="s">
        <v>291</v>
      </c>
      <c r="C24" s="4" t="s">
        <v>170</v>
      </c>
      <c r="D24" s="4" t="s">
        <v>171</v>
      </c>
      <c r="E24" s="4">
        <v>451</v>
      </c>
      <c r="F24" s="4">
        <f>SUM(L24:DP24)</f>
        <v>38088</v>
      </c>
      <c r="G24" s="4">
        <f>COUNT(L24:DP24)</f>
        <v>23</v>
      </c>
      <c r="H24" s="4">
        <v>53.73</v>
      </c>
      <c r="I24" s="4">
        <v>88.57</v>
      </c>
      <c r="J24" s="4">
        <v>8.94</v>
      </c>
      <c r="K24" s="5" t="s">
        <v>27</v>
      </c>
      <c r="X24" s="4">
        <f>110+363</f>
        <v>473</v>
      </c>
      <c r="AA24" s="4">
        <f>607+1654</f>
        <v>2261</v>
      </c>
      <c r="AC24" s="4">
        <f>568+1754</f>
        <v>2322</v>
      </c>
      <c r="AD24" s="4">
        <f>351+1041</f>
        <v>1392</v>
      </c>
      <c r="AT24" s="4">
        <f>258+726</f>
        <v>984</v>
      </c>
      <c r="AX24" s="4">
        <f>97+248</f>
        <v>345</v>
      </c>
      <c r="BD24" s="4">
        <f>250+741</f>
        <v>991</v>
      </c>
      <c r="BF24" s="4">
        <f>143+338</f>
        <v>481</v>
      </c>
      <c r="BI24" s="4">
        <f>505+1524</f>
        <v>2029</v>
      </c>
      <c r="BN24" s="4">
        <f>53+259</f>
        <v>312</v>
      </c>
      <c r="BP24" s="4">
        <f>666+1845</f>
        <v>2511</v>
      </c>
      <c r="BQ24" s="4">
        <f>498+1983</f>
        <v>2481</v>
      </c>
      <c r="BR24" s="4">
        <f>644+2145</f>
        <v>2789</v>
      </c>
      <c r="BX24" s="4">
        <f>572+1708</f>
        <v>2280</v>
      </c>
      <c r="CC24" s="4">
        <f>485+1761</f>
        <v>2246</v>
      </c>
      <c r="CD24" s="4">
        <f>305+1133</f>
        <v>1438</v>
      </c>
      <c r="CP24" s="4">
        <f>190+775</f>
        <v>965</v>
      </c>
      <c r="DC24" s="4">
        <f>141+388</f>
        <v>529</v>
      </c>
      <c r="DH24" s="4">
        <f>624+1982</f>
        <v>2606</v>
      </c>
      <c r="DJ24" s="4">
        <f>879+3115</f>
        <v>3994</v>
      </c>
      <c r="DK24" s="4">
        <f>88+341</f>
        <v>429</v>
      </c>
      <c r="DM24" s="4">
        <f>156+526</f>
        <v>682</v>
      </c>
      <c r="DO24" s="4">
        <f>817+2731</f>
        <v>3548</v>
      </c>
      <c r="DQ24" s="4">
        <v>5849</v>
      </c>
      <c r="ED24" s="4">
        <v>1084</v>
      </c>
      <c r="EH24" s="4">
        <v>2535</v>
      </c>
      <c r="EK24" s="4">
        <v>1664</v>
      </c>
      <c r="GN24" s="4">
        <v>1551</v>
      </c>
      <c r="GX24" s="4">
        <v>909</v>
      </c>
      <c r="GY24" s="4">
        <v>1436</v>
      </c>
      <c r="HC24" s="4">
        <v>776</v>
      </c>
      <c r="HH24" s="4">
        <v>615</v>
      </c>
      <c r="HJ24" s="4">
        <v>1386</v>
      </c>
      <c r="HL24" s="4">
        <v>2634</v>
      </c>
      <c r="HT24" s="4">
        <v>80</v>
      </c>
      <c r="II24" s="4">
        <v>892</v>
      </c>
      <c r="IR24" s="4">
        <v>1379</v>
      </c>
    </row>
    <row r="25" spans="1:258" x14ac:dyDescent="0.3">
      <c r="A25" s="4" t="s">
        <v>244</v>
      </c>
      <c r="B25" s="4" t="s">
        <v>302</v>
      </c>
      <c r="C25" s="4" t="s">
        <v>25</v>
      </c>
      <c r="D25" s="4" t="s">
        <v>26</v>
      </c>
      <c r="E25" s="4">
        <v>451</v>
      </c>
      <c r="F25" s="4">
        <f>SUM(L25:DP25)</f>
        <v>0</v>
      </c>
      <c r="G25" s="4">
        <f>COUNT(L25:DP25)</f>
        <v>0</v>
      </c>
      <c r="H25" s="4">
        <v>50.27</v>
      </c>
      <c r="I25" s="4">
        <v>95.96</v>
      </c>
      <c r="J25" s="4">
        <v>1.08</v>
      </c>
      <c r="K25" s="5" t="s">
        <v>27</v>
      </c>
      <c r="FV25" s="4">
        <f>105+203</f>
        <v>308</v>
      </c>
      <c r="FW25" s="4">
        <f>62+113</f>
        <v>175</v>
      </c>
      <c r="GE25" s="4">
        <f>55+86</f>
        <v>141</v>
      </c>
      <c r="GF25" s="4">
        <f>62+88</f>
        <v>150</v>
      </c>
      <c r="GH25" s="4">
        <f>45+68</f>
        <v>113</v>
      </c>
      <c r="HO25" s="4">
        <f>48+80</f>
        <v>128</v>
      </c>
      <c r="HS25" s="4">
        <f>42+41</f>
        <v>83</v>
      </c>
      <c r="HT25" s="4">
        <f>41+71</f>
        <v>112</v>
      </c>
    </row>
    <row r="26" spans="1:258" x14ac:dyDescent="0.3">
      <c r="A26" s="10" t="s">
        <v>218</v>
      </c>
      <c r="B26" s="4" t="s">
        <v>297</v>
      </c>
      <c r="C26" s="4" t="s">
        <v>219</v>
      </c>
      <c r="D26" s="4" t="s">
        <v>220</v>
      </c>
      <c r="E26" s="4">
        <v>451</v>
      </c>
      <c r="F26" s="4">
        <f>SUM(L26:DP26)</f>
        <v>210</v>
      </c>
      <c r="G26" s="4">
        <f>COUNT(L26:DP26)</f>
        <v>1</v>
      </c>
      <c r="H26" s="4">
        <v>5.77</v>
      </c>
      <c r="I26" s="4">
        <v>5.77</v>
      </c>
      <c r="J26" s="4">
        <v>5.77</v>
      </c>
      <c r="K26" s="5" t="s">
        <v>221</v>
      </c>
      <c r="DK26" s="4">
        <f>63+147</f>
        <v>210</v>
      </c>
    </row>
    <row r="27" spans="1:258" x14ac:dyDescent="0.3">
      <c r="A27" s="10" t="s">
        <v>186</v>
      </c>
      <c r="B27" s="4" t="s">
        <v>296</v>
      </c>
      <c r="C27" s="4" t="s">
        <v>187</v>
      </c>
      <c r="D27" s="4" t="s">
        <v>188</v>
      </c>
      <c r="E27" s="4">
        <v>451</v>
      </c>
      <c r="F27" s="4">
        <f>SUM(L27:DP27)</f>
        <v>3468</v>
      </c>
      <c r="G27" s="4">
        <f>COUNT(L27:DP27)</f>
        <v>2</v>
      </c>
      <c r="H27" s="4">
        <v>43.47</v>
      </c>
      <c r="I27" s="4">
        <v>47.92</v>
      </c>
      <c r="J27" s="4">
        <v>39.020000000000003</v>
      </c>
      <c r="K27" s="5" t="s">
        <v>189</v>
      </c>
      <c r="AB27" s="4">
        <f>413+1196</f>
        <v>1609</v>
      </c>
      <c r="CX27" s="4">
        <f>335+1524</f>
        <v>1859</v>
      </c>
    </row>
    <row r="28" spans="1:258" x14ac:dyDescent="0.3">
      <c r="A28" s="10" t="s">
        <v>193</v>
      </c>
      <c r="B28" s="4" t="s">
        <v>300</v>
      </c>
      <c r="C28" s="4" t="s">
        <v>194</v>
      </c>
      <c r="D28" s="4" t="s">
        <v>195</v>
      </c>
      <c r="E28" s="4">
        <v>451</v>
      </c>
      <c r="F28" s="4">
        <f>SUM(L28:DP28)</f>
        <v>2681</v>
      </c>
      <c r="G28" s="4">
        <f>COUNT(L28:DP28)</f>
        <v>4</v>
      </c>
      <c r="H28" s="4">
        <v>16.36</v>
      </c>
      <c r="I28" s="4">
        <v>23.4</v>
      </c>
      <c r="J28" s="4">
        <v>12.51</v>
      </c>
      <c r="K28" s="5" t="s">
        <v>196</v>
      </c>
      <c r="U28" s="4">
        <f>174+749</f>
        <v>923</v>
      </c>
      <c r="V28" s="4">
        <f>78+339</f>
        <v>417</v>
      </c>
      <c r="X28" s="4">
        <f>131+542</f>
        <v>673</v>
      </c>
      <c r="Y28" s="4">
        <f>124+544</f>
        <v>668</v>
      </c>
    </row>
    <row r="29" spans="1:258" x14ac:dyDescent="0.3">
      <c r="A29" s="4" t="s">
        <v>245</v>
      </c>
      <c r="B29" s="4" t="s">
        <v>316</v>
      </c>
      <c r="C29" s="4" t="s">
        <v>28</v>
      </c>
      <c r="D29" s="4" t="s">
        <v>29</v>
      </c>
      <c r="E29" s="4">
        <v>451</v>
      </c>
      <c r="F29" s="4">
        <f>SUM(L29:DP29)</f>
        <v>0</v>
      </c>
      <c r="G29" s="4">
        <f>COUNT(L29:DP29)</f>
        <v>0</v>
      </c>
      <c r="H29" s="4">
        <v>21.85</v>
      </c>
      <c r="I29" s="4">
        <v>91.03</v>
      </c>
      <c r="J29" s="4">
        <v>1.01</v>
      </c>
      <c r="K29" s="5" t="s">
        <v>30</v>
      </c>
      <c r="DV29" s="4">
        <f>15+51</f>
        <v>66</v>
      </c>
      <c r="DZ29" s="4">
        <f>15+34</f>
        <v>49</v>
      </c>
      <c r="EA29" s="4">
        <f>28+41</f>
        <v>69</v>
      </c>
      <c r="EB29" s="4">
        <f>19+40</f>
        <v>59</v>
      </c>
      <c r="ED29" s="4">
        <f>28+63</f>
        <v>91</v>
      </c>
      <c r="EF29" s="4">
        <f>24+53</f>
        <v>77</v>
      </c>
      <c r="EG29" s="4">
        <f>15+34</f>
        <v>49</v>
      </c>
      <c r="EH29" s="4">
        <f>31+38</f>
        <v>69</v>
      </c>
      <c r="EI29" s="4">
        <f>32+50</f>
        <v>82</v>
      </c>
      <c r="EJ29" s="4">
        <f>18+37</f>
        <v>55</v>
      </c>
      <c r="EL29" s="4">
        <f>33+58</f>
        <v>91</v>
      </c>
      <c r="EM29" s="4">
        <f>23+73</f>
        <v>96</v>
      </c>
      <c r="EN29" s="4">
        <f>11+24</f>
        <v>35</v>
      </c>
      <c r="EO29" s="4">
        <f>26+54</f>
        <v>80</v>
      </c>
      <c r="ET29" s="4">
        <f>5+5</f>
        <v>10</v>
      </c>
      <c r="FA29" s="4">
        <f>12+37</f>
        <v>49</v>
      </c>
      <c r="FI29" s="4">
        <f>7+30</f>
        <v>37</v>
      </c>
      <c r="FJ29" s="4">
        <f>6+7</f>
        <v>13</v>
      </c>
      <c r="FM29" s="4">
        <f>5+21</f>
        <v>26</v>
      </c>
      <c r="HG29" s="4">
        <f>13+10</f>
        <v>23</v>
      </c>
      <c r="HO29" s="4">
        <f>20+33</f>
        <v>53</v>
      </c>
      <c r="HS29" s="4">
        <f>16+27</f>
        <v>43</v>
      </c>
      <c r="HT29" s="4">
        <f>16+23</f>
        <v>39</v>
      </c>
      <c r="HU29" s="4">
        <f>16+22</f>
        <v>38</v>
      </c>
      <c r="HV29" s="4">
        <f>15+27</f>
        <v>42</v>
      </c>
    </row>
    <row r="30" spans="1:258" x14ac:dyDescent="0.3">
      <c r="A30" s="11" t="s">
        <v>262</v>
      </c>
      <c r="B30" s="4" t="s">
        <v>320</v>
      </c>
      <c r="C30" s="4" t="s">
        <v>237</v>
      </c>
      <c r="D30" s="4" t="s">
        <v>238</v>
      </c>
      <c r="E30" s="4">
        <v>454</v>
      </c>
      <c r="F30" s="4">
        <f>SUM(L30:DP30)</f>
        <v>138</v>
      </c>
      <c r="G30" s="4">
        <f>COUNT(L30:DP30)</f>
        <v>2</v>
      </c>
      <c r="H30" s="4">
        <v>1.94</v>
      </c>
      <c r="I30" s="4">
        <v>2.14</v>
      </c>
      <c r="J30" s="4">
        <v>1.53</v>
      </c>
      <c r="K30" s="5" t="s">
        <v>239</v>
      </c>
      <c r="BM30" s="4">
        <f>10+59</f>
        <v>69</v>
      </c>
      <c r="BN30" s="4">
        <f>7+62</f>
        <v>69</v>
      </c>
      <c r="FV30" s="4">
        <f>122+252</f>
        <v>374</v>
      </c>
      <c r="FW30" s="4">
        <f>58+185</f>
        <v>243</v>
      </c>
      <c r="GE30" s="4">
        <f>71+177</f>
        <v>248</v>
      </c>
      <c r="GF30" s="4">
        <f>98+195</f>
        <v>293</v>
      </c>
      <c r="GG30" s="4">
        <f>54+73</f>
        <v>127</v>
      </c>
      <c r="GH30" s="4">
        <f>48+98</f>
        <v>146</v>
      </c>
      <c r="IU30" s="4">
        <f>117+226</f>
        <v>343</v>
      </c>
    </row>
    <row r="31" spans="1:258" x14ac:dyDescent="0.3">
      <c r="A31" s="4" t="s">
        <v>253</v>
      </c>
      <c r="B31" s="4" t="s">
        <v>318</v>
      </c>
      <c r="C31" s="4" t="s">
        <v>55</v>
      </c>
      <c r="D31" s="4" t="s">
        <v>56</v>
      </c>
      <c r="E31" s="4">
        <v>454</v>
      </c>
      <c r="F31" s="4">
        <f>SUM(L31:DP31)</f>
        <v>0</v>
      </c>
      <c r="G31" s="4">
        <f>COUNT(L31:DP31)</f>
        <v>0</v>
      </c>
      <c r="H31" s="4">
        <v>1.1200000000000001</v>
      </c>
      <c r="I31" s="4">
        <v>1.1200000000000001</v>
      </c>
      <c r="J31" s="4">
        <v>1.1200000000000001</v>
      </c>
      <c r="K31" s="5" t="s">
        <v>57</v>
      </c>
      <c r="GG31" s="4">
        <f>18+34</f>
        <v>52</v>
      </c>
    </row>
    <row r="32" spans="1:258" x14ac:dyDescent="0.3">
      <c r="A32" s="4" t="s">
        <v>249</v>
      </c>
      <c r="B32" s="4" t="s">
        <v>317</v>
      </c>
      <c r="C32" s="4" t="s">
        <v>42</v>
      </c>
      <c r="D32" s="4" t="s">
        <v>43</v>
      </c>
      <c r="E32" s="4">
        <v>454</v>
      </c>
      <c r="F32" s="4">
        <f>SUM(L32:DP32)</f>
        <v>0</v>
      </c>
      <c r="G32" s="4">
        <f>COUNT(L32:DP32)</f>
        <v>0</v>
      </c>
      <c r="H32" s="4">
        <v>2.56</v>
      </c>
      <c r="I32" s="4">
        <v>4.0999999999999996</v>
      </c>
      <c r="J32" s="4">
        <v>1.35</v>
      </c>
      <c r="K32" s="5" t="s">
        <v>44</v>
      </c>
      <c r="FV32" s="4">
        <f>57+159</f>
        <v>216</v>
      </c>
      <c r="FW32" s="4">
        <f>19+54</f>
        <v>73</v>
      </c>
      <c r="GE32" s="4">
        <f>41+109</f>
        <v>150</v>
      </c>
      <c r="GF32" s="4">
        <f>37+64</f>
        <v>101</v>
      </c>
      <c r="GG32" s="4">
        <f>26+37</f>
        <v>63</v>
      </c>
      <c r="GH32" s="4">
        <f>15+34</f>
        <v>49</v>
      </c>
      <c r="IU32" s="4">
        <f>53+80</f>
        <v>133</v>
      </c>
    </row>
    <row r="33" spans="1:255" x14ac:dyDescent="0.3">
      <c r="A33" s="10" t="s">
        <v>240</v>
      </c>
      <c r="B33" s="4" t="s">
        <v>319</v>
      </c>
      <c r="C33" s="4" t="s">
        <v>241</v>
      </c>
      <c r="D33" s="4" t="s">
        <v>242</v>
      </c>
      <c r="E33" s="4">
        <v>454</v>
      </c>
      <c r="F33" s="4">
        <f>SUM(L33:DP33)</f>
        <v>129</v>
      </c>
      <c r="G33" s="4">
        <f>COUNT(L33:DP33)</f>
        <v>2</v>
      </c>
      <c r="H33" s="4">
        <v>2</v>
      </c>
      <c r="I33" s="4">
        <v>2.42</v>
      </c>
      <c r="J33" s="4">
        <v>1.58</v>
      </c>
      <c r="K33" s="5" t="s">
        <v>243</v>
      </c>
      <c r="BM33" s="4">
        <f>11+40</f>
        <v>51</v>
      </c>
      <c r="BN33" s="4">
        <f>13+65</f>
        <v>78</v>
      </c>
    </row>
    <row r="34" spans="1:255" x14ac:dyDescent="0.3">
      <c r="A34" s="11" t="s">
        <v>264</v>
      </c>
      <c r="B34" s="4" t="s">
        <v>299</v>
      </c>
      <c r="C34" s="4" t="s">
        <v>212</v>
      </c>
      <c r="D34" s="4" t="s">
        <v>213</v>
      </c>
      <c r="E34" s="4">
        <v>451</v>
      </c>
      <c r="F34" s="4">
        <f>SUM(L34:DP34)</f>
        <v>203</v>
      </c>
      <c r="G34" s="4">
        <f>COUNT(L34:DP34)</f>
        <v>2</v>
      </c>
      <c r="H34" s="4">
        <v>4.76</v>
      </c>
      <c r="I34" s="4">
        <v>8.0299999999999994</v>
      </c>
      <c r="J34" s="4">
        <v>1.75</v>
      </c>
      <c r="K34" s="5" t="s">
        <v>214</v>
      </c>
      <c r="BK34" s="4">
        <f>26+127</f>
        <v>153</v>
      </c>
      <c r="BL34" s="4">
        <f>8+42</f>
        <v>50</v>
      </c>
      <c r="GD34" s="4">
        <f>88+160</f>
        <v>248</v>
      </c>
    </row>
    <row r="35" spans="1:255" x14ac:dyDescent="0.3">
      <c r="A35" s="11" t="s">
        <v>263</v>
      </c>
      <c r="B35" s="4" t="s">
        <v>321</v>
      </c>
      <c r="C35" s="4" t="s">
        <v>190</v>
      </c>
      <c r="D35" s="4" t="s">
        <v>191</v>
      </c>
      <c r="E35" s="4">
        <v>451</v>
      </c>
      <c r="F35" s="4">
        <f>SUM(L35:DP35)</f>
        <v>2682</v>
      </c>
      <c r="G35" s="4">
        <f>COUNT(L35:DP35)</f>
        <v>4</v>
      </c>
      <c r="H35" s="4">
        <v>20.45</v>
      </c>
      <c r="I35" s="4">
        <v>47.11</v>
      </c>
      <c r="J35" s="4">
        <v>1.99</v>
      </c>
      <c r="K35" s="5" t="s">
        <v>192</v>
      </c>
      <c r="BK35" s="4">
        <f>47+123</f>
        <v>170</v>
      </c>
      <c r="BL35" s="4">
        <f>12+45</f>
        <v>57</v>
      </c>
      <c r="BM35" s="4">
        <f>179+759</f>
        <v>938</v>
      </c>
      <c r="BN35" s="4">
        <f>305+1212</f>
        <v>1517</v>
      </c>
      <c r="FH35" s="4">
        <f>9+18</f>
        <v>27</v>
      </c>
      <c r="FJ35" s="4">
        <f>5+11</f>
        <v>16</v>
      </c>
      <c r="FM35" s="4">
        <f>7+13</f>
        <v>20</v>
      </c>
      <c r="FV35" s="4">
        <f>1076+1961</f>
        <v>3037</v>
      </c>
      <c r="FW35" s="4">
        <f>570+1311</f>
        <v>1881</v>
      </c>
      <c r="GA35" s="4">
        <f>20+34</f>
        <v>54</v>
      </c>
      <c r="GC35" s="4">
        <f>12+19</f>
        <v>31</v>
      </c>
      <c r="GD35" s="4">
        <f>125+227</f>
        <v>352</v>
      </c>
      <c r="GE35" s="4">
        <f>797+1636</f>
        <v>2433</v>
      </c>
      <c r="GF35" s="4">
        <f>847+1716</f>
        <v>2563</v>
      </c>
      <c r="GG35" s="4">
        <f>547+1431</f>
        <v>1978</v>
      </c>
      <c r="GH35" s="4">
        <f>524+1032</f>
        <v>1556</v>
      </c>
      <c r="HG35" s="4">
        <f>8+14</f>
        <v>22</v>
      </c>
      <c r="IU35" s="4">
        <f>1063+2050</f>
        <v>3113</v>
      </c>
    </row>
  </sheetData>
  <sortState xmlns:xlrd2="http://schemas.microsoft.com/office/spreadsheetml/2017/richdata2" ref="A3:MO41">
    <sortCondition ref="B3:B41"/>
  </sortState>
  <conditionalFormatting sqref="I35 I1 I3:I22">
    <cfRule type="cellIs" dxfId="1" priority="1" operator="between">
      <formula>3</formula>
      <formula>5</formula>
    </cfRule>
    <cfRule type="cellIs" dxfId="0" priority="2" operator="lessThan">
      <formula>3</formula>
    </cfRule>
  </conditionalFormatting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58BC1-DDF9-4F6D-935C-3C3C5EC0901E}">
  <dimension ref="A1:AI20"/>
  <sheetViews>
    <sheetView workbookViewId="0">
      <selection activeCell="C28" sqref="C28"/>
    </sheetView>
  </sheetViews>
  <sheetFormatPr baseColWidth="10" defaultRowHeight="14.4" x14ac:dyDescent="0.3"/>
  <cols>
    <col min="1" max="1" width="21.5546875" bestFit="1" customWidth="1"/>
  </cols>
  <sheetData>
    <row r="1" spans="1:35" x14ac:dyDescent="0.3">
      <c r="C1" t="s">
        <v>325</v>
      </c>
      <c r="D1" t="s">
        <v>325</v>
      </c>
      <c r="E1" t="s">
        <v>325</v>
      </c>
      <c r="F1" t="s">
        <v>325</v>
      </c>
      <c r="G1" t="s">
        <v>325</v>
      </c>
      <c r="H1" t="s">
        <v>325</v>
      </c>
      <c r="I1" t="s">
        <v>325</v>
      </c>
      <c r="J1" t="s">
        <v>325</v>
      </c>
      <c r="K1" t="s">
        <v>325</v>
      </c>
      <c r="L1" t="s">
        <v>325</v>
      </c>
      <c r="M1" t="s">
        <v>325</v>
      </c>
      <c r="N1" t="s">
        <v>325</v>
      </c>
      <c r="O1" t="s">
        <v>325</v>
      </c>
      <c r="P1" t="s">
        <v>325</v>
      </c>
      <c r="Q1" t="s">
        <v>325</v>
      </c>
      <c r="R1" t="s">
        <v>325</v>
      </c>
      <c r="S1" t="s">
        <v>325</v>
      </c>
      <c r="T1" t="s">
        <v>325</v>
      </c>
      <c r="U1" t="s">
        <v>325</v>
      </c>
      <c r="V1" t="s">
        <v>325</v>
      </c>
      <c r="W1" t="s">
        <v>325</v>
      </c>
      <c r="X1" t="s">
        <v>325</v>
      </c>
      <c r="Y1" t="s">
        <v>325</v>
      </c>
      <c r="Z1" t="s">
        <v>325</v>
      </c>
      <c r="AA1" t="s">
        <v>325</v>
      </c>
      <c r="AB1" t="s">
        <v>325</v>
      </c>
      <c r="AC1" t="s">
        <v>325</v>
      </c>
      <c r="AD1" s="1" t="s">
        <v>254</v>
      </c>
      <c r="AE1" s="1" t="s">
        <v>254</v>
      </c>
      <c r="AF1" s="1" t="s">
        <v>254</v>
      </c>
      <c r="AG1" s="1" t="s">
        <v>254</v>
      </c>
      <c r="AH1" s="1" t="s">
        <v>254</v>
      </c>
      <c r="AI1" s="1" t="s">
        <v>254</v>
      </c>
    </row>
    <row r="2" spans="1:35" x14ac:dyDescent="0.3">
      <c r="A2" t="s">
        <v>323</v>
      </c>
      <c r="B2" t="s">
        <v>322</v>
      </c>
      <c r="C2" t="s">
        <v>290</v>
      </c>
      <c r="D2" t="s">
        <v>291</v>
      </c>
      <c r="E2" t="s">
        <v>292</v>
      </c>
      <c r="F2" t="s">
        <v>293</v>
      </c>
      <c r="G2" t="s">
        <v>294</v>
      </c>
      <c r="H2" t="s">
        <v>301</v>
      </c>
      <c r="I2" t="s">
        <v>298</v>
      </c>
      <c r="J2" t="s">
        <v>296</v>
      </c>
      <c r="K2" t="s">
        <v>300</v>
      </c>
      <c r="L2" t="s">
        <v>304</v>
      </c>
      <c r="M2" t="s">
        <v>307</v>
      </c>
      <c r="N2" t="s">
        <v>308</v>
      </c>
      <c r="O2" t="s">
        <v>311</v>
      </c>
      <c r="P2" t="s">
        <v>306</v>
      </c>
      <c r="Q2" t="s">
        <v>297</v>
      </c>
      <c r="R2" t="s">
        <v>312</v>
      </c>
      <c r="S2" t="s">
        <v>295</v>
      </c>
      <c r="T2" t="s">
        <v>310</v>
      </c>
      <c r="U2" t="s">
        <v>309</v>
      </c>
      <c r="V2" t="s">
        <v>302</v>
      </c>
      <c r="W2" t="s">
        <v>305</v>
      </c>
      <c r="X2" t="s">
        <v>313</v>
      </c>
      <c r="Y2" t="s">
        <v>303</v>
      </c>
      <c r="Z2" t="s">
        <v>314</v>
      </c>
      <c r="AA2" t="s">
        <v>315</v>
      </c>
      <c r="AB2" t="s">
        <v>324</v>
      </c>
      <c r="AC2" t="s">
        <v>316</v>
      </c>
      <c r="AD2" s="1" t="s">
        <v>320</v>
      </c>
      <c r="AE2" s="1" t="s">
        <v>318</v>
      </c>
      <c r="AF2" s="1" t="s">
        <v>317</v>
      </c>
      <c r="AG2" s="1" t="s">
        <v>319</v>
      </c>
      <c r="AH2" s="1" t="s">
        <v>299</v>
      </c>
      <c r="AI2" s="1" t="s">
        <v>321</v>
      </c>
    </row>
    <row r="3" spans="1:35" x14ac:dyDescent="0.3">
      <c r="A3" t="s">
        <v>282</v>
      </c>
      <c r="B3">
        <v>391</v>
      </c>
      <c r="C3" s="3">
        <v>1</v>
      </c>
      <c r="D3">
        <v>0</v>
      </c>
      <c r="E3" s="3">
        <v>1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 s="3">
        <v>1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 s="2">
        <v>1</v>
      </c>
      <c r="AE3">
        <v>0</v>
      </c>
      <c r="AF3" s="2">
        <v>1</v>
      </c>
      <c r="AG3">
        <v>0</v>
      </c>
      <c r="AH3">
        <v>0</v>
      </c>
      <c r="AI3" s="2">
        <v>1</v>
      </c>
    </row>
    <row r="4" spans="1:35" x14ac:dyDescent="0.3">
      <c r="A4" t="s">
        <v>282</v>
      </c>
      <c r="B4">
        <v>392</v>
      </c>
      <c r="C4" s="3">
        <v>1</v>
      </c>
      <c r="D4">
        <v>0</v>
      </c>
      <c r="E4" s="3">
        <v>1</v>
      </c>
      <c r="F4">
        <v>0</v>
      </c>
      <c r="G4" s="3">
        <v>1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 s="3">
        <v>1</v>
      </c>
      <c r="W4">
        <v>0</v>
      </c>
      <c r="X4">
        <v>0</v>
      </c>
      <c r="Y4">
        <v>0</v>
      </c>
      <c r="Z4">
        <v>0</v>
      </c>
      <c r="AA4" s="3">
        <v>1</v>
      </c>
      <c r="AB4" s="3">
        <v>1</v>
      </c>
      <c r="AC4">
        <v>0</v>
      </c>
      <c r="AD4" s="2">
        <v>1</v>
      </c>
      <c r="AE4">
        <v>0</v>
      </c>
      <c r="AF4" s="2">
        <v>1</v>
      </c>
      <c r="AG4">
        <v>0</v>
      </c>
      <c r="AH4">
        <v>0</v>
      </c>
      <c r="AI4" s="2">
        <v>1</v>
      </c>
    </row>
    <row r="5" spans="1:35" x14ac:dyDescent="0.3">
      <c r="A5" t="s">
        <v>284</v>
      </c>
      <c r="B5">
        <v>404</v>
      </c>
      <c r="C5" s="3">
        <v>1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 s="3">
        <v>1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 s="2">
        <v>1</v>
      </c>
      <c r="AE5" s="2">
        <v>1</v>
      </c>
      <c r="AF5" s="2">
        <v>1</v>
      </c>
      <c r="AG5">
        <v>0</v>
      </c>
      <c r="AH5">
        <v>0</v>
      </c>
      <c r="AI5" s="2">
        <v>1</v>
      </c>
    </row>
    <row r="6" spans="1:35" x14ac:dyDescent="0.3">
      <c r="A6" t="s">
        <v>284</v>
      </c>
      <c r="B6">
        <v>405</v>
      </c>
      <c r="C6" s="3">
        <v>1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 s="3">
        <v>1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 s="2">
        <v>1</v>
      </c>
      <c r="AE6">
        <v>0</v>
      </c>
      <c r="AF6" s="2">
        <v>1</v>
      </c>
      <c r="AG6">
        <v>0</v>
      </c>
      <c r="AH6">
        <v>0</v>
      </c>
      <c r="AI6" s="2">
        <v>1</v>
      </c>
    </row>
    <row r="7" spans="1:35" x14ac:dyDescent="0.3">
      <c r="A7" t="s">
        <v>286</v>
      </c>
      <c r="B7">
        <v>430</v>
      </c>
      <c r="C7" s="3">
        <v>1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 s="3">
        <v>1</v>
      </c>
      <c r="AD7">
        <v>0</v>
      </c>
      <c r="AE7">
        <v>0</v>
      </c>
      <c r="AF7">
        <v>0</v>
      </c>
      <c r="AG7">
        <v>0</v>
      </c>
      <c r="AH7">
        <v>0</v>
      </c>
      <c r="AI7" s="2">
        <v>1</v>
      </c>
    </row>
    <row r="8" spans="1:35" x14ac:dyDescent="0.3">
      <c r="A8" t="s">
        <v>270</v>
      </c>
      <c r="B8" t="s">
        <v>110</v>
      </c>
      <c r="C8" s="3">
        <v>1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 s="2">
        <v>1</v>
      </c>
      <c r="AI8" s="2">
        <v>1</v>
      </c>
    </row>
    <row r="9" spans="1:35" x14ac:dyDescent="0.3">
      <c r="A9" t="s">
        <v>270</v>
      </c>
      <c r="B9" t="s">
        <v>111</v>
      </c>
      <c r="C9" s="3">
        <v>1</v>
      </c>
      <c r="D9">
        <v>0</v>
      </c>
      <c r="E9" s="3">
        <v>1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 s="3">
        <v>1</v>
      </c>
      <c r="T9">
        <v>0</v>
      </c>
      <c r="U9" s="3">
        <v>1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 s="2">
        <v>1</v>
      </c>
      <c r="AI9" s="2">
        <v>1</v>
      </c>
    </row>
    <row r="10" spans="1:35" x14ac:dyDescent="0.3">
      <c r="A10" t="s">
        <v>270</v>
      </c>
      <c r="B10" t="s">
        <v>112</v>
      </c>
      <c r="C10" s="3">
        <v>1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 s="2">
        <v>1</v>
      </c>
      <c r="AE10">
        <v>0</v>
      </c>
      <c r="AF10">
        <v>0</v>
      </c>
      <c r="AG10" s="2">
        <v>1</v>
      </c>
      <c r="AH10">
        <v>0</v>
      </c>
      <c r="AI10" s="2">
        <v>1</v>
      </c>
    </row>
    <row r="11" spans="1:35" x14ac:dyDescent="0.3">
      <c r="A11" t="s">
        <v>270</v>
      </c>
      <c r="B11" t="s">
        <v>113</v>
      </c>
      <c r="C11" s="3">
        <v>1</v>
      </c>
      <c r="D11" s="3">
        <v>1</v>
      </c>
      <c r="E11" s="3">
        <v>1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 s="3">
        <v>1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 s="2">
        <v>1</v>
      </c>
      <c r="AE11">
        <v>0</v>
      </c>
      <c r="AF11">
        <v>0</v>
      </c>
      <c r="AG11" s="2">
        <v>1</v>
      </c>
      <c r="AH11">
        <v>0</v>
      </c>
      <c r="AI11" s="2">
        <v>1</v>
      </c>
    </row>
    <row r="12" spans="1:35" x14ac:dyDescent="0.3">
      <c r="A12" t="s">
        <v>283</v>
      </c>
      <c r="B12">
        <v>396</v>
      </c>
      <c r="C12" s="3">
        <v>1</v>
      </c>
      <c r="D12">
        <v>0</v>
      </c>
      <c r="E12" s="3">
        <v>1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 s="2">
        <v>1</v>
      </c>
    </row>
    <row r="13" spans="1:35" x14ac:dyDescent="0.3">
      <c r="A13" t="s">
        <v>283</v>
      </c>
      <c r="B13">
        <v>398</v>
      </c>
      <c r="C13" s="3">
        <v>1</v>
      </c>
      <c r="D13">
        <v>0</v>
      </c>
      <c r="E13" s="3">
        <v>1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 s="2">
        <v>1</v>
      </c>
    </row>
    <row r="14" spans="1:35" x14ac:dyDescent="0.3">
      <c r="A14" t="s">
        <v>283</v>
      </c>
      <c r="B14">
        <v>399</v>
      </c>
      <c r="C14" s="3">
        <v>1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 s="2">
        <v>1</v>
      </c>
      <c r="AI14" s="2">
        <v>1</v>
      </c>
    </row>
    <row r="15" spans="1:35" x14ac:dyDescent="0.3">
      <c r="A15" t="s">
        <v>283</v>
      </c>
      <c r="B15">
        <v>400</v>
      </c>
      <c r="C15" s="3">
        <v>1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 s="3">
        <v>1</v>
      </c>
      <c r="S15">
        <v>0</v>
      </c>
      <c r="T15">
        <v>0</v>
      </c>
      <c r="U15">
        <v>0</v>
      </c>
      <c r="V15" s="3">
        <v>1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 s="2">
        <v>1</v>
      </c>
      <c r="AE15">
        <v>0</v>
      </c>
      <c r="AF15" s="2">
        <v>1</v>
      </c>
      <c r="AG15">
        <v>0</v>
      </c>
      <c r="AH15">
        <v>0</v>
      </c>
      <c r="AI15" s="2">
        <v>1</v>
      </c>
    </row>
    <row r="16" spans="1:35" x14ac:dyDescent="0.3">
      <c r="A16" t="s">
        <v>283</v>
      </c>
      <c r="B16">
        <v>402</v>
      </c>
      <c r="C16" s="3">
        <v>1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 s="3">
        <v>1</v>
      </c>
      <c r="S16">
        <v>0</v>
      </c>
      <c r="T16">
        <v>0</v>
      </c>
      <c r="U16">
        <v>0</v>
      </c>
      <c r="V16" s="3">
        <v>1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 s="2">
        <v>1</v>
      </c>
      <c r="AE16">
        <v>0</v>
      </c>
      <c r="AF16" s="2">
        <v>1</v>
      </c>
      <c r="AG16">
        <v>0</v>
      </c>
      <c r="AH16">
        <v>0</v>
      </c>
      <c r="AI16" s="2">
        <v>1</v>
      </c>
    </row>
    <row r="17" spans="1:35" x14ac:dyDescent="0.3">
      <c r="A17" t="s">
        <v>281</v>
      </c>
      <c r="B17">
        <v>377</v>
      </c>
      <c r="C17" s="3">
        <v>1</v>
      </c>
      <c r="D17">
        <v>0</v>
      </c>
      <c r="E17">
        <v>1</v>
      </c>
      <c r="F17">
        <v>0</v>
      </c>
      <c r="G17" s="3">
        <v>1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 s="2">
        <v>1</v>
      </c>
    </row>
    <row r="18" spans="1:35" x14ac:dyDescent="0.3">
      <c r="A18" t="s">
        <v>281</v>
      </c>
      <c r="B18">
        <v>379</v>
      </c>
      <c r="C18" s="3">
        <v>1</v>
      </c>
      <c r="D18">
        <v>0</v>
      </c>
      <c r="E18" s="3">
        <v>1</v>
      </c>
      <c r="F18">
        <v>0</v>
      </c>
      <c r="G18" s="3">
        <v>1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 s="3">
        <v>1</v>
      </c>
      <c r="AD18">
        <v>0</v>
      </c>
      <c r="AE18">
        <v>0</v>
      </c>
      <c r="AF18">
        <v>0</v>
      </c>
      <c r="AG18">
        <v>0</v>
      </c>
      <c r="AH18">
        <v>0</v>
      </c>
      <c r="AI18" s="2">
        <v>1</v>
      </c>
    </row>
    <row r="19" spans="1:35" x14ac:dyDescent="0.3">
      <c r="A19" t="s">
        <v>281</v>
      </c>
      <c r="B19">
        <v>382</v>
      </c>
      <c r="C19" s="3">
        <v>1</v>
      </c>
      <c r="D19">
        <v>0</v>
      </c>
      <c r="E19">
        <v>0</v>
      </c>
      <c r="F19" s="3">
        <v>1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 s="3">
        <v>1</v>
      </c>
      <c r="AD19">
        <v>0</v>
      </c>
      <c r="AE19">
        <v>0</v>
      </c>
      <c r="AF19">
        <v>0</v>
      </c>
      <c r="AG19">
        <v>0</v>
      </c>
      <c r="AH19">
        <v>0</v>
      </c>
      <c r="AI19" s="2">
        <v>1</v>
      </c>
    </row>
    <row r="20" spans="1:35" x14ac:dyDescent="0.3">
      <c r="A20" t="s">
        <v>281</v>
      </c>
      <c r="B20" t="s">
        <v>20</v>
      </c>
      <c r="C20" s="3">
        <v>1</v>
      </c>
      <c r="D20">
        <v>0</v>
      </c>
      <c r="E20" s="3">
        <v>1</v>
      </c>
      <c r="F20">
        <v>0</v>
      </c>
      <c r="G20" s="3">
        <v>1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 s="2">
        <v>1</v>
      </c>
      <c r="AE20">
        <v>0</v>
      </c>
      <c r="AF20" s="2">
        <v>1</v>
      </c>
      <c r="AG20">
        <v>0</v>
      </c>
      <c r="AH20">
        <v>0</v>
      </c>
      <c r="AI20" s="2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Gallotia_reads NGS</vt:lpstr>
      <vt:lpstr>COINFECT Hepatozoon Karyolysus</vt:lpstr>
    </vt:vector>
  </TitlesOfParts>
  <Company>Evolutionary Biology Group, Adam Mickiewicz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AmpliSAT results</dc:title>
  <dc:creator>Alvaro Sebastian</dc:creator>
  <dc:description>AmpliSAT results</dc:description>
  <cp:lastModifiedBy>User</cp:lastModifiedBy>
  <dcterms:created xsi:type="dcterms:W3CDTF">2020-10-31T09:25:09Z</dcterms:created>
  <dcterms:modified xsi:type="dcterms:W3CDTF">2023-08-03T19:23:52Z</dcterms:modified>
</cp:coreProperties>
</file>